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Y:\InetPub\dsfhome.1\download\calc\"/>
    </mc:Choice>
  </mc:AlternateContent>
  <xr:revisionPtr revIDLastSave="0" documentId="13_ncr:1_{8A67BAF4-6207-48FF-ABE5-C0E83AC3C983}" xr6:coauthVersionLast="47" xr6:coauthVersionMax="47" xr10:uidLastSave="{00000000-0000-0000-0000-000000000000}"/>
  <bookViews>
    <workbookView xWindow="-120" yWindow="-120" windowWidth="29040" windowHeight="15720" xr2:uid="{00000000-000D-0000-FFFF-FFFF00000000}"/>
  </bookViews>
  <sheets>
    <sheet name="    Monthly    " sheetId="4" r:id="rId1"/>
    <sheet name="    Quarterly    " sheetId="3" state="hidden" r:id="rId2"/>
    <sheet name="    Annual    " sheetId="1" r:id="rId3"/>
  </sheets>
  <definedNames>
    <definedName name="Z_AA3E4D5E_3A47_45A8_BB43_466E3FB86B12_.wvu.Cols" localSheetId="2" hidden="1">'    Annual    '!$L:$IV</definedName>
    <definedName name="Z_AA3E4D5E_3A47_45A8_BB43_466E3FB86B12_.wvu.Cols" localSheetId="0" hidden="1">'    Monthly    '!$L:$IV</definedName>
    <definedName name="Z_AA3E4D5E_3A47_45A8_BB43_466E3FB86B12_.wvu.Cols" localSheetId="1" hidden="1">'    Quarterly    '!$L:$IV</definedName>
    <definedName name="Z_AA3E4D5E_3A47_45A8_BB43_466E3FB86B12_.wvu.Rows" localSheetId="2" hidden="1">'    Annual    '!$42:$65537,'    Annual    '!$30:$39,'    Annual    '!$41:$41</definedName>
    <definedName name="Z_AA3E4D5E_3A47_45A8_BB43_466E3FB86B12_.wvu.Rows" localSheetId="0" hidden="1">'    Monthly    '!$43:$65537,'    Monthly    '!$30:$39,'    Monthly    '!$41:$42</definedName>
    <definedName name="Z_AA3E4D5E_3A47_45A8_BB43_466E3FB86B12_.wvu.Rows" localSheetId="1" hidden="1">'    Quarterly    '!$43:$65536,'    Quarterly    '!$29:$40,'    Quarterly    '!$42:$42</definedName>
    <definedName name="主頁面">'    Annual    '!$F$1</definedName>
    <definedName name="其它收入">#REF!</definedName>
  </definedNames>
  <calcPr calcId="191029"/>
  <customWorkbookViews>
    <customWorkbookView name="ericchan - 個人檢視畫面" guid="{AA3E4D5E-3A47-45A8-BB43-466E3FB86B12}" mergeInterval="0" personalView="1" maximized="1" windowWidth="1020" windowHeight="56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 i="1" l="1"/>
  <c r="P3" i="1" l="1"/>
  <c r="O3" i="1"/>
  <c r="B1" i="4" l="1"/>
  <c r="J11" i="1" l="1"/>
  <c r="J13" i="1" s="1"/>
  <c r="J10" i="3"/>
  <c r="J11" i="4"/>
  <c r="J13" i="4" s="1"/>
  <c r="J11" i="3" l="1"/>
  <c r="J12" i="3" l="1"/>
  <c r="M5" i="3"/>
  <c r="J6" i="3" s="1"/>
  <c r="M4" i="3"/>
  <c r="J4" i="3" s="1"/>
  <c r="B1" i="3" s="1"/>
  <c r="M6" i="1"/>
  <c r="J7" i="1" s="1"/>
  <c r="M5" i="1"/>
  <c r="J5" i="1" s="1"/>
  <c r="D6" i="1"/>
  <c r="D8" i="1"/>
  <c r="J12" i="1"/>
  <c r="M21" i="1"/>
  <c r="G31" i="1"/>
  <c r="K30" i="1" s="1"/>
  <c r="K32" i="1" s="1"/>
  <c r="D5" i="3"/>
  <c r="D7" i="3"/>
  <c r="G30" i="3"/>
  <c r="K29" i="3" s="1"/>
  <c r="K31" i="3" s="1"/>
  <c r="D6" i="4"/>
  <c r="D8" i="4"/>
  <c r="J12" i="4"/>
  <c r="G31" i="4"/>
  <c r="K30" i="4" s="1"/>
  <c r="K32" i="4" s="1"/>
  <c r="N24" i="1" l="1"/>
  <c r="D7" i="1" s="1"/>
  <c r="B1" i="1"/>
  <c r="N20" i="1"/>
  <c r="M7" i="1"/>
  <c r="M19" i="1"/>
  <c r="O19" i="1"/>
  <c r="N19" i="1"/>
  <c r="N28" i="1"/>
  <c r="N27" i="1" s="1"/>
  <c r="N11" i="1"/>
  <c r="M13" i="1" s="1"/>
  <c r="M15" i="1"/>
  <c r="M20" i="1"/>
  <c r="M27" i="1"/>
  <c r="M17" i="1"/>
  <c r="O20" i="1"/>
  <c r="M28" i="1"/>
  <c r="O7" i="1" l="1"/>
  <c r="B2" i="1" s="1"/>
  <c r="N7" i="1"/>
  <c r="F7" i="4"/>
  <c r="N18" i="1"/>
  <c r="D6" i="3"/>
  <c r="M18" i="1"/>
  <c r="D7" i="4"/>
  <c r="F7" i="1" l="1"/>
  <c r="F6" i="3"/>
  <c r="L11" i="4"/>
  <c r="B2" i="4" s="1"/>
  <c r="L9" i="3"/>
  <c r="B2" i="3" s="1"/>
  <c r="O18" i="1"/>
  <c r="L10" i="3"/>
  <c r="B3" i="3" s="1"/>
  <c r="L12" i="4"/>
  <c r="B3" i="4" s="1"/>
  <c r="B3" i="1"/>
  <c r="N9" i="1" l="1"/>
  <c r="M9" i="1"/>
  <c r="E16" i="1" s="1"/>
  <c r="D17" i="1" l="1"/>
  <c r="E16" i="4"/>
  <c r="D17" i="4" s="1"/>
  <c r="E17" i="1"/>
  <c r="E17" i="4" s="1"/>
  <c r="D18" i="4" s="1"/>
  <c r="E15" i="3"/>
  <c r="G15" i="3" s="1"/>
  <c r="H15" i="3" s="1"/>
  <c r="I15" i="3" s="1"/>
  <c r="G16" i="1"/>
  <c r="H16" i="1" s="1"/>
  <c r="I16" i="1" s="1"/>
  <c r="E18" i="1"/>
  <c r="E18" i="4" s="1"/>
  <c r="E16" i="3"/>
  <c r="D17" i="3" s="1"/>
  <c r="D18" i="1"/>
  <c r="D16" i="3"/>
  <c r="G16" i="4" l="1"/>
  <c r="G17" i="4" s="1"/>
  <c r="G18" i="4" s="1"/>
  <c r="G17" i="1"/>
  <c r="H17" i="1" s="1"/>
  <c r="I17" i="1" s="1"/>
  <c r="E19" i="1"/>
  <c r="E18" i="3" s="1"/>
  <c r="E17" i="3"/>
  <c r="D18" i="3" s="1"/>
  <c r="D19" i="1"/>
  <c r="G16" i="3"/>
  <c r="H16" i="3" s="1"/>
  <c r="I16" i="3" s="1"/>
  <c r="G18" i="1"/>
  <c r="H18" i="1" s="1"/>
  <c r="I18" i="1" s="1"/>
  <c r="D19" i="4"/>
  <c r="H16" i="4" l="1"/>
  <c r="I16" i="4" s="1"/>
  <c r="D20" i="1"/>
  <c r="E19" i="4"/>
  <c r="G19" i="4" s="1"/>
  <c r="E20" i="1"/>
  <c r="G17" i="3"/>
  <c r="H17" i="3" s="1"/>
  <c r="I17" i="3" s="1"/>
  <c r="G19" i="1"/>
  <c r="H19" i="1" s="1"/>
  <c r="I19" i="1" s="1"/>
  <c r="D19" i="3"/>
  <c r="H17" i="4" l="1"/>
  <c r="I17" i="4" s="1"/>
  <c r="G18" i="3"/>
  <c r="H18" i="3" s="1"/>
  <c r="I18" i="3" s="1"/>
  <c r="G20" i="1"/>
  <c r="H20" i="1" s="1"/>
  <c r="I20" i="1" s="1"/>
  <c r="D21" i="1"/>
  <c r="E21" i="1"/>
  <c r="D22" i="1" s="1"/>
  <c r="D20" i="4"/>
  <c r="E20" i="4"/>
  <c r="D21" i="4" s="1"/>
  <c r="E19" i="3"/>
  <c r="D20" i="3" s="1"/>
  <c r="H18" i="4" l="1"/>
  <c r="I18" i="4" s="1"/>
  <c r="E20" i="3"/>
  <c r="D21" i="3" s="1"/>
  <c r="G21" i="1"/>
  <c r="H21" i="1" s="1"/>
  <c r="I21" i="1" s="1"/>
  <c r="E21" i="4"/>
  <c r="D22" i="4" s="1"/>
  <c r="G19" i="3"/>
  <c r="H19" i="3" s="1"/>
  <c r="I19" i="3" s="1"/>
  <c r="G20" i="4"/>
  <c r="H19" i="4" l="1"/>
  <c r="I19" i="4" s="1"/>
  <c r="H20" i="4"/>
  <c r="I20" i="4" s="1"/>
  <c r="G20" i="3"/>
  <c r="H20" i="3" s="1"/>
  <c r="I20" i="3" s="1"/>
  <c r="G21" i="4"/>
  <c r="G22" i="1"/>
  <c r="H22" i="1" s="1"/>
  <c r="I22" i="1" s="1"/>
  <c r="J24" i="1" s="1"/>
  <c r="J25" i="1" s="1"/>
  <c r="J26" i="1" s="1"/>
  <c r="H21" i="4" l="1"/>
  <c r="I21" i="4" s="1"/>
  <c r="G22" i="4"/>
  <c r="G21" i="3"/>
  <c r="H21" i="3" s="1"/>
  <c r="I21" i="3" s="1"/>
  <c r="J23" i="3" s="1"/>
  <c r="J24" i="3" s="1"/>
  <c r="J25" i="3" s="1"/>
  <c r="H22" i="4" l="1"/>
  <c r="I22" i="4" s="1"/>
  <c r="J24" i="4" s="1"/>
  <c r="J25" i="4" s="1"/>
  <c r="J26" i="4" s="1"/>
</calcChain>
</file>

<file path=xl/sharedStrings.xml><?xml version="1.0" encoding="utf-8"?>
<sst xmlns="http://schemas.openxmlformats.org/spreadsheetml/2006/main" count="97" uniqueCount="54">
  <si>
    <r>
      <t>2003</t>
    </r>
    <r>
      <rPr>
        <sz val="12"/>
        <rFont val="新細明體"/>
        <family val="1"/>
        <charset val="136"/>
      </rPr>
      <t>年度應繳稅款</t>
    </r>
    <phoneticPr fontId="1" type="noConversion"/>
  </si>
  <si>
    <r>
      <t>2003</t>
    </r>
    <r>
      <rPr>
        <sz val="12"/>
        <rFont val="新細明體"/>
        <family val="1"/>
        <charset val="136"/>
      </rPr>
      <t>年度平均每月交付稅款</t>
    </r>
    <phoneticPr fontId="1" type="noConversion"/>
  </si>
  <si>
    <t>臨時特別豁免稅款</t>
    <phoneticPr fontId="1" type="noConversion"/>
  </si>
  <si>
    <t>1)</t>
    <phoneticPr fontId="1" type="noConversion"/>
  </si>
  <si>
    <t>2)</t>
    <phoneticPr fontId="1" type="noConversion"/>
  </si>
  <si>
    <t>Ano do cálculo</t>
    <phoneticPr fontId="1" type="noConversion"/>
  </si>
  <si>
    <t xml:space="preserve">A. </t>
    <phoneticPr fontId="1" type="noConversion"/>
  </si>
  <si>
    <t xml:space="preserve">B. </t>
    <phoneticPr fontId="1" type="noConversion"/>
  </si>
  <si>
    <t>C.</t>
    <phoneticPr fontId="1" type="noConversion"/>
  </si>
  <si>
    <t>Rendimento mensal que não constitua matéria colectável (B + C)</t>
    <phoneticPr fontId="1" type="noConversion"/>
  </si>
  <si>
    <t>D.</t>
    <phoneticPr fontId="1" type="noConversion"/>
  </si>
  <si>
    <r>
      <t xml:space="preserve">D. </t>
    </r>
    <r>
      <rPr>
        <sz val="12"/>
        <rFont val="新細明體"/>
        <family val="1"/>
        <charset val="136"/>
      </rPr>
      <t/>
    </r>
    <phoneticPr fontId="1" type="noConversion"/>
  </si>
  <si>
    <t>Rendimento trimestral que não constitua matéria colectável (B + C)</t>
    <phoneticPr fontId="1" type="noConversion"/>
  </si>
  <si>
    <t>Rendimento que não constitua matéria colectável (B + C)</t>
    <phoneticPr fontId="1" type="noConversion"/>
  </si>
  <si>
    <r>
      <t xml:space="preserve">D. </t>
    </r>
    <r>
      <rPr>
        <sz val="12"/>
        <rFont val="新細明體"/>
        <family val="1"/>
        <charset val="136"/>
      </rPr>
      <t/>
    </r>
    <phoneticPr fontId="1" type="noConversion"/>
  </si>
  <si>
    <t xml:space="preserve">E. </t>
    <phoneticPr fontId="1" type="noConversion"/>
  </si>
  <si>
    <r>
      <t xml:space="preserve">F. </t>
    </r>
    <r>
      <rPr>
        <sz val="12"/>
        <rFont val="新細明體"/>
        <family val="1"/>
        <charset val="136"/>
      </rPr>
      <t/>
    </r>
    <phoneticPr fontId="1" type="noConversion"/>
  </si>
  <si>
    <r>
      <t xml:space="preserve">G. </t>
    </r>
    <r>
      <rPr>
        <b/>
        <sz val="12"/>
        <rFont val="新細明體"/>
        <family val="1"/>
        <charset val="136"/>
      </rPr>
      <t/>
    </r>
    <phoneticPr fontId="1" type="noConversion"/>
  </si>
  <si>
    <t xml:space="preserve">D. </t>
    <phoneticPr fontId="1" type="noConversion"/>
  </si>
  <si>
    <t>F.</t>
    <phoneticPr fontId="1" type="noConversion"/>
  </si>
  <si>
    <t>G.</t>
    <phoneticPr fontId="1" type="noConversion"/>
  </si>
  <si>
    <t>C.</t>
    <phoneticPr fontId="1" type="noConversion"/>
  </si>
  <si>
    <t>D.</t>
    <phoneticPr fontId="1" type="noConversion"/>
  </si>
  <si>
    <r>
      <t>F.</t>
    </r>
    <r>
      <rPr>
        <sz val="14"/>
        <rFont val="新細明體"/>
        <family val="1"/>
        <charset val="136"/>
      </rPr>
      <t/>
    </r>
    <phoneticPr fontId="1" type="noConversion"/>
  </si>
  <si>
    <t>Non-taxable income</t>
    <phoneticPr fontId="1" type="noConversion"/>
  </si>
  <si>
    <t>From</t>
  </si>
  <si>
    <t>To</t>
  </si>
  <si>
    <t>Tax Rate</t>
  </si>
  <si>
    <t>Taxable 
Income</t>
  </si>
  <si>
    <t>Tax amount 
under each tier</t>
  </si>
  <si>
    <t>Accumulated 
tax amount</t>
  </si>
  <si>
    <t>Monthly tax amount calculated based upon the statutory tax rates</t>
    <phoneticPr fontId="1" type="noConversion"/>
  </si>
  <si>
    <t>30% wavier of the salaries tax according to the tax relief measures as announced in the government budget of relevant financial year(s). (E x 30%)</t>
    <phoneticPr fontId="1" type="noConversion"/>
  </si>
  <si>
    <t xml:space="preserve">Monthly salaries tax payable (E - F) </t>
    <phoneticPr fontId="1" type="noConversion"/>
  </si>
  <si>
    <t>Monthly taxable income (A - B - C)</t>
    <phoneticPr fontId="1" type="noConversion"/>
  </si>
  <si>
    <t>The result of the above calculation is for reference only. The finalized amount of taxable income is subject to the evaluation of the tax administration.</t>
    <phoneticPr fontId="1" type="noConversion"/>
  </si>
  <si>
    <t>The amount will be rounded up to the nearest dollar.</t>
    <phoneticPr fontId="1" type="noConversion"/>
  </si>
  <si>
    <t>For more information about Salaries Tax, please visit DSF web page:  http://www.dsf.gov.mo</t>
    <phoneticPr fontId="1" type="noConversion"/>
  </si>
  <si>
    <t>Gross quarterly income (non-taxable income included)</t>
    <phoneticPr fontId="1" type="noConversion"/>
  </si>
  <si>
    <t>Quarterly taxable income (A - B - C)</t>
    <phoneticPr fontId="1" type="noConversion"/>
  </si>
  <si>
    <t>Quarterly tax amount calculated based upon the statutory tax rates</t>
    <phoneticPr fontId="1" type="noConversion"/>
  </si>
  <si>
    <t>30% wavier of the salaries tax according to the tax relief measures as announced in the government budget of relevant financial year(s).(E x 30%)</t>
    <phoneticPr fontId="1" type="noConversion"/>
  </si>
  <si>
    <t xml:space="preserve">Quarterly salaries tax payable (E - F)  </t>
    <phoneticPr fontId="1" type="noConversion"/>
  </si>
  <si>
    <t>Annual taxable income (A -B -C)</t>
    <phoneticPr fontId="1" type="noConversion"/>
  </si>
  <si>
    <t>Annual tax amount calculated based upon the statutory tax rates</t>
    <phoneticPr fontId="1" type="noConversion"/>
  </si>
  <si>
    <t xml:space="preserve">Annual salaries tax payable (E - F)  </t>
    <phoneticPr fontId="1" type="noConversion"/>
  </si>
  <si>
    <t>Under the age of 65</t>
    <phoneticPr fontId="1" type="noConversion"/>
  </si>
  <si>
    <t>Over the age of 65 / Disabled persons</t>
    <phoneticPr fontId="1" type="noConversion"/>
  </si>
  <si>
    <t>Fixed deduction equivalent to 25% of the income amount after deduction of B [(A-B) x 25%]</t>
    <phoneticPr fontId="1" type="noConversion"/>
  </si>
  <si>
    <t>Fixed deduction equivalent to 25% of the income amount after deduction of B ((A-B) x 25%)</t>
    <phoneticPr fontId="1" type="noConversion"/>
  </si>
  <si>
    <t>Have you already benefited from the Salaries Tax preferences of the Legal System for the Recruitment of Talent or the Tax Preferences System for Enterprises Active in the Field of Scientific and Technological Innovation?</t>
    <phoneticPr fontId="1" type="noConversion"/>
  </si>
  <si>
    <r>
      <t>Gross monthly income</t>
    </r>
    <r>
      <rPr>
        <sz val="12"/>
        <color rgb="FF0000FF"/>
        <rFont val="Times New Roman"/>
        <family val="1"/>
      </rPr>
      <t xml:space="preserve"> ( The amount should include non-taxable income )</t>
    </r>
    <phoneticPr fontId="1" type="noConversion"/>
  </si>
  <si>
    <r>
      <t>Gross annual income</t>
    </r>
    <r>
      <rPr>
        <sz val="12"/>
        <color rgb="FF0000FF"/>
        <rFont val="Times New Roman"/>
        <family val="1"/>
      </rPr>
      <t xml:space="preserve"> ( The amount should include non-taxable income )</t>
    </r>
    <phoneticPr fontId="1" type="noConversion"/>
  </si>
  <si>
    <t>Calculation year</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</si>
</sst>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Red]\(#,##0\);\-_)"/>
    <numFmt numFmtId="180" formatCode="#,##0.00000_ "/>
    <numFmt numFmtId="181" formatCode="yyyy/mm/dd"/>
    <numFmt numFmtId="182" formatCode="yyyy/m/d;@"/>
    <numFmt numFmtId="183" formatCode="0.00_ "/>
  </numFmts>
  <fonts count="28" x14ac:knownFonts="1">
    <font>
      <sz val="12"/>
      <name val="新細明體"/>
      <family val="1"/>
      <charset val="136"/>
    </font>
    <font>
      <sz val="9"/>
      <name val="新細明體"/>
      <family val="1"/>
      <charset val="136"/>
    </font>
    <font>
      <sz val="12"/>
      <name val="Times New Roman"/>
      <family val="1"/>
    </font>
    <font>
      <b/>
      <sz val="18"/>
      <name val="新細明體"/>
      <family val="1"/>
      <charset val="136"/>
    </font>
    <font>
      <u/>
      <sz val="12"/>
      <color indexed="12"/>
      <name val="新細明體"/>
      <family val="1"/>
      <charset val="136"/>
    </font>
    <font>
      <sz val="10"/>
      <name val="新細明體"/>
      <family val="1"/>
      <charset val="136"/>
    </font>
    <font>
      <sz val="10"/>
      <color indexed="17"/>
      <name val="新細明體"/>
      <family val="1"/>
      <charset val="136"/>
    </font>
    <font>
      <sz val="11"/>
      <name val="新細明體"/>
      <family val="1"/>
      <charset val="136"/>
    </font>
    <font>
      <sz val="11"/>
      <name val="Times New Roman"/>
      <family val="1"/>
    </font>
    <font>
      <b/>
      <sz val="10"/>
      <name val="新細明體"/>
      <family val="1"/>
      <charset val="136"/>
    </font>
    <font>
      <b/>
      <sz val="14"/>
      <name val="新細明體"/>
      <family val="1"/>
      <charset val="136"/>
    </font>
    <font>
      <sz val="14"/>
      <name val="新細明體"/>
      <family val="1"/>
      <charset val="136"/>
    </font>
    <font>
      <b/>
      <sz val="12"/>
      <name val="新細明體"/>
      <family val="1"/>
      <charset val="136"/>
    </font>
    <font>
      <b/>
      <sz val="10"/>
      <color rgb="FFFF0000"/>
      <name val="新細明體"/>
      <family val="1"/>
      <charset val="136"/>
    </font>
    <font>
      <b/>
      <sz val="11"/>
      <color rgb="FFFF0000"/>
      <name val="新細明體"/>
      <family val="1"/>
      <charset val="136"/>
    </font>
    <font>
      <b/>
      <sz val="12"/>
      <color rgb="FFFF0000"/>
      <name val="新細明體"/>
      <family val="1"/>
      <charset val="136"/>
    </font>
    <font>
      <b/>
      <sz val="18"/>
      <name val="Times New Roman"/>
      <family val="1"/>
    </font>
    <font>
      <b/>
      <sz val="12"/>
      <name val="Times New Roman"/>
      <family val="1"/>
    </font>
    <font>
      <b/>
      <sz val="12"/>
      <color rgb="FFFF0000"/>
      <name val="Times New Roman"/>
      <family val="1"/>
    </font>
    <font>
      <sz val="10"/>
      <name val="Times New Roman"/>
      <family val="1"/>
    </font>
    <font>
      <b/>
      <sz val="10"/>
      <name val="Times New Roman"/>
      <family val="1"/>
    </font>
    <font>
      <u/>
      <sz val="10"/>
      <color indexed="12"/>
      <name val="Times New Roman"/>
      <family val="1"/>
    </font>
    <font>
      <sz val="12"/>
      <color indexed="10"/>
      <name val="Times New Roman"/>
      <family val="1"/>
    </font>
    <font>
      <b/>
      <sz val="16"/>
      <color rgb="FF0000FF"/>
      <name val="Times New Roman"/>
      <family val="1"/>
    </font>
    <font>
      <b/>
      <sz val="16"/>
      <color indexed="12"/>
      <name val="Times New Roman"/>
      <family val="1"/>
    </font>
    <font>
      <sz val="12"/>
      <color rgb="FF0000FF"/>
      <name val="Times New Roman"/>
      <family val="1"/>
    </font>
    <font>
      <sz val="9"/>
      <color rgb="FF000000"/>
      <name val="Microsoft JhengHei UI"/>
      <family val="2"/>
      <charset val="136"/>
    </font>
    <font>
      <b/>
      <sz val="12"/>
      <color theme="1"/>
      <name val="Times New Roman"/>
      <family val="1"/>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C2FEC2"/>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bottom/>
      <diagonal/>
    </border>
    <border>
      <left/>
      <right/>
      <top style="double">
        <color indexed="64"/>
      </top>
      <bottom/>
      <diagonal/>
    </border>
    <border>
      <left/>
      <right/>
      <top style="medium">
        <color indexed="64"/>
      </top>
      <bottom/>
      <diagonal/>
    </border>
    <border>
      <left/>
      <right/>
      <top style="medium">
        <color indexed="64"/>
      </top>
      <bottom style="double">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42">
    <xf numFmtId="0" fontId="0" fillId="0" borderId="0" xfId="0"/>
    <xf numFmtId="177" fontId="0" fillId="0" borderId="0" xfId="0" applyNumberFormat="1"/>
    <xf numFmtId="177" fontId="3" fillId="0" borderId="0" xfId="0" applyNumberFormat="1" applyFont="1" applyAlignment="1">
      <alignment horizontal="centerContinuous"/>
    </xf>
    <xf numFmtId="177" fontId="3" fillId="0" borderId="0" xfId="0" applyNumberFormat="1" applyFont="1"/>
    <xf numFmtId="177" fontId="0" fillId="2" borderId="1" xfId="0" applyNumberFormat="1" applyFill="1" applyBorder="1"/>
    <xf numFmtId="177" fontId="5" fillId="0" borderId="0" xfId="0" applyNumberFormat="1" applyFont="1"/>
    <xf numFmtId="177" fontId="2" fillId="3" borderId="0" xfId="0" applyNumberFormat="1" applyFont="1" applyFill="1"/>
    <xf numFmtId="177" fontId="0" fillId="3" borderId="0" xfId="0" applyNumberFormat="1" applyFill="1"/>
    <xf numFmtId="9" fontId="0" fillId="3" borderId="0" xfId="0" applyNumberFormat="1" applyFill="1" applyAlignment="1">
      <alignment horizontal="center"/>
    </xf>
    <xf numFmtId="177" fontId="0" fillId="3" borderId="1" xfId="0" applyNumberFormat="1" applyFill="1" applyBorder="1"/>
    <xf numFmtId="177" fontId="6" fillId="0" borderId="0" xfId="0" applyNumberFormat="1" applyFont="1"/>
    <xf numFmtId="177" fontId="7" fillId="0" borderId="0" xfId="0" applyNumberFormat="1" applyFont="1"/>
    <xf numFmtId="177" fontId="8" fillId="0" borderId="0" xfId="0" applyNumberFormat="1" applyFont="1"/>
    <xf numFmtId="177" fontId="8" fillId="0" borderId="4" xfId="0" applyNumberFormat="1" applyFont="1" applyBorder="1"/>
    <xf numFmtId="14" fontId="7" fillId="0" borderId="0" xfId="0" applyNumberFormat="1" applyFont="1"/>
    <xf numFmtId="177" fontId="13" fillId="0" borderId="0" xfId="0" applyNumberFormat="1" applyFont="1"/>
    <xf numFmtId="176" fontId="7" fillId="0" borderId="0" xfId="0" applyNumberFormat="1" applyFont="1"/>
    <xf numFmtId="180" fontId="7" fillId="0" borderId="0" xfId="0" applyNumberFormat="1" applyFont="1"/>
    <xf numFmtId="177" fontId="10" fillId="0" borderId="2" xfId="0" applyNumberFormat="1" applyFont="1" applyBorder="1"/>
    <xf numFmtId="177" fontId="14" fillId="0" borderId="0" xfId="0" applyNumberFormat="1" applyFont="1"/>
    <xf numFmtId="177" fontId="7" fillId="0" borderId="0" xfId="0" applyNumberFormat="1" applyFont="1" applyProtection="1">
      <protection locked="0"/>
    </xf>
    <xf numFmtId="177" fontId="11" fillId="0" borderId="0" xfId="0" applyNumberFormat="1" applyFont="1"/>
    <xf numFmtId="182" fontId="7" fillId="0" borderId="0" xfId="0" applyNumberFormat="1" applyFont="1"/>
    <xf numFmtId="177" fontId="15" fillId="0" borderId="0" xfId="0" applyNumberFormat="1" applyFont="1" applyAlignment="1">
      <alignment horizontal="center" vertical="top" wrapText="1"/>
    </xf>
    <xf numFmtId="177" fontId="16" fillId="0" borderId="0" xfId="0" applyNumberFormat="1" applyFont="1" applyAlignment="1">
      <alignment horizontal="centerContinuous"/>
    </xf>
    <xf numFmtId="177" fontId="16" fillId="0" borderId="0" xfId="0" applyNumberFormat="1" applyFont="1" applyAlignment="1">
      <alignment horizontal="centerContinuous" wrapText="1"/>
    </xf>
    <xf numFmtId="177" fontId="18" fillId="0" borderId="0" xfId="0" applyNumberFormat="1" applyFont="1" applyAlignment="1">
      <alignment horizontal="center" vertical="top" wrapText="1"/>
    </xf>
    <xf numFmtId="177" fontId="18" fillId="0" borderId="9" xfId="0" applyNumberFormat="1" applyFont="1" applyBorder="1" applyAlignment="1">
      <alignment horizontal="center" vertical="top" wrapText="1"/>
    </xf>
    <xf numFmtId="177" fontId="19" fillId="0" borderId="0" xfId="0" applyNumberFormat="1" applyFont="1"/>
    <xf numFmtId="49" fontId="8" fillId="0" borderId="4" xfId="0" applyNumberFormat="1" applyFont="1" applyBorder="1" applyAlignment="1">
      <alignment vertical="center"/>
    </xf>
    <xf numFmtId="0" fontId="2" fillId="0" borderId="4" xfId="0" applyFont="1" applyBorder="1" applyAlignment="1">
      <alignment vertical="center"/>
    </xf>
    <xf numFmtId="181" fontId="17" fillId="6" borderId="3" xfId="0" applyNumberFormat="1" applyFont="1" applyFill="1" applyBorder="1" applyAlignment="1" applyProtection="1">
      <alignment vertical="center"/>
      <protection locked="0"/>
    </xf>
    <xf numFmtId="177" fontId="2" fillId="0" borderId="0" xfId="0" applyNumberFormat="1" applyFont="1"/>
    <xf numFmtId="40" fontId="22" fillId="2" borderId="6" xfId="0" applyNumberFormat="1" applyFont="1" applyFill="1" applyBorder="1"/>
    <xf numFmtId="40" fontId="22" fillId="2" borderId="4" xfId="0" applyNumberFormat="1" applyFont="1" applyFill="1" applyBorder="1"/>
    <xf numFmtId="40" fontId="2" fillId="2" borderId="6" xfId="0" applyNumberFormat="1" applyFont="1" applyFill="1" applyBorder="1"/>
    <xf numFmtId="40" fontId="2" fillId="0" borderId="0" xfId="0" applyNumberFormat="1" applyFont="1"/>
    <xf numFmtId="178" fontId="2" fillId="0" borderId="1" xfId="0" applyNumberFormat="1" applyFont="1" applyBorder="1"/>
    <xf numFmtId="9" fontId="2" fillId="0" borderId="1" xfId="0" applyNumberFormat="1" applyFont="1" applyBorder="1" applyAlignment="1">
      <alignment horizontal="center"/>
    </xf>
    <xf numFmtId="40" fontId="2" fillId="2" borderId="1" xfId="0" applyNumberFormat="1" applyFont="1" applyFill="1" applyBorder="1"/>
    <xf numFmtId="177" fontId="2" fillId="0" borderId="4" xfId="0" applyNumberFormat="1" applyFont="1" applyBorder="1"/>
    <xf numFmtId="177" fontId="2" fillId="0" borderId="4" xfId="0" applyNumberFormat="1" applyFont="1" applyBorder="1" applyAlignment="1">
      <alignment horizontal="right"/>
    </xf>
    <xf numFmtId="9" fontId="2" fillId="0" borderId="4" xfId="0" applyNumberFormat="1" applyFont="1" applyBorder="1" applyAlignment="1">
      <alignment horizontal="center"/>
    </xf>
    <xf numFmtId="40" fontId="2" fillId="0" borderId="4" xfId="0" applyNumberFormat="1" applyFont="1" applyBorder="1"/>
    <xf numFmtId="179" fontId="2" fillId="0" borderId="4" xfId="0" applyNumberFormat="1" applyFont="1" applyBorder="1"/>
    <xf numFmtId="40" fontId="2" fillId="2" borderId="4" xfId="0" applyNumberFormat="1" applyFont="1" applyFill="1" applyBorder="1"/>
    <xf numFmtId="40" fontId="22" fillId="2" borderId="8" xfId="0" applyNumberFormat="1" applyFont="1" applyFill="1" applyBorder="1"/>
    <xf numFmtId="38" fontId="17" fillId="4" borderId="5" xfId="0" applyNumberFormat="1" applyFont="1" applyFill="1" applyBorder="1"/>
    <xf numFmtId="176" fontId="17" fillId="7" borderId="3" xfId="0" applyNumberFormat="1" applyFont="1" applyFill="1" applyBorder="1" applyAlignment="1">
      <alignment horizontal="right" vertical="top" wrapText="1"/>
    </xf>
    <xf numFmtId="177" fontId="0" fillId="0" borderId="0" xfId="0" applyNumberFormat="1" applyFont="1"/>
    <xf numFmtId="181" fontId="17" fillId="7" borderId="3" xfId="0" applyNumberFormat="1" applyFont="1" applyFill="1" applyBorder="1" applyAlignment="1">
      <alignment vertical="center"/>
    </xf>
    <xf numFmtId="49" fontId="0" fillId="0" borderId="4" xfId="0" applyNumberFormat="1" applyFont="1" applyBorder="1" applyAlignment="1">
      <alignment vertical="center"/>
    </xf>
    <xf numFmtId="0" fontId="0" fillId="0" borderId="4" xfId="0" applyFont="1" applyBorder="1" applyAlignment="1">
      <alignment vertical="center"/>
    </xf>
    <xf numFmtId="177" fontId="0" fillId="0" borderId="4" xfId="0" applyNumberFormat="1" applyFont="1" applyBorder="1"/>
    <xf numFmtId="177" fontId="2" fillId="0" borderId="6" xfId="0" applyNumberFormat="1" applyFont="1" applyBorder="1"/>
    <xf numFmtId="177" fontId="2" fillId="0" borderId="6" xfId="0" applyNumberFormat="1" applyFont="1" applyBorder="1" applyAlignment="1">
      <alignment horizontal="right"/>
    </xf>
    <xf numFmtId="9" fontId="2" fillId="0" borderId="6" xfId="0" applyNumberFormat="1" applyFont="1" applyBorder="1" applyAlignment="1">
      <alignment horizontal="center"/>
    </xf>
    <xf numFmtId="40" fontId="2" fillId="0" borderId="6" xfId="0" applyNumberFormat="1" applyFont="1" applyBorder="1"/>
    <xf numFmtId="179" fontId="2" fillId="0" borderId="6" xfId="0" applyNumberFormat="1" applyFont="1" applyBorder="1"/>
    <xf numFmtId="177" fontId="2" fillId="8" borderId="6" xfId="0" applyNumberFormat="1" applyFont="1" applyFill="1" applyBorder="1" applyAlignment="1">
      <alignment vertical="center"/>
    </xf>
    <xf numFmtId="177" fontId="2" fillId="0" borderId="6" xfId="0" applyNumberFormat="1" applyFont="1" applyBorder="1" applyAlignment="1">
      <alignment vertical="center" wrapText="1"/>
    </xf>
    <xf numFmtId="177" fontId="2" fillId="0" borderId="6" xfId="0" applyNumberFormat="1" applyFont="1" applyBorder="1" applyAlignment="1">
      <alignment vertical="center"/>
    </xf>
    <xf numFmtId="0" fontId="2" fillId="0" borderId="6" xfId="0" applyFont="1" applyBorder="1" applyAlignment="1">
      <alignment vertical="center"/>
    </xf>
    <xf numFmtId="177" fontId="20" fillId="0" borderId="0" xfId="0" applyNumberFormat="1" applyFont="1" applyAlignment="1">
      <alignment vertical="center"/>
    </xf>
    <xf numFmtId="177" fontId="20" fillId="0" borderId="7" xfId="0" applyNumberFormat="1" applyFont="1" applyBorder="1" applyAlignment="1">
      <alignment vertical="center"/>
    </xf>
    <xf numFmtId="177" fontId="2" fillId="0" borderId="8" xfId="0" applyNumberFormat="1" applyFont="1" applyBorder="1" applyAlignment="1">
      <alignment vertical="center"/>
    </xf>
    <xf numFmtId="177" fontId="17" fillId="0" borderId="12" xfId="0" applyNumberFormat="1" applyFont="1" applyBorder="1" applyAlignment="1">
      <alignment vertical="center"/>
    </xf>
    <xf numFmtId="4" fontId="22" fillId="2" borderId="4" xfId="0" applyNumberFormat="1" applyFont="1" applyFill="1" applyBorder="1"/>
    <xf numFmtId="4" fontId="2" fillId="2" borderId="4" xfId="0" applyNumberFormat="1" applyFont="1" applyFill="1" applyBorder="1"/>
    <xf numFmtId="178" fontId="2" fillId="0" borderId="0" xfId="0" applyNumberFormat="1" applyFont="1"/>
    <xf numFmtId="40" fontId="2" fillId="7" borderId="1" xfId="0" applyNumberFormat="1" applyFont="1" applyFill="1" applyBorder="1"/>
    <xf numFmtId="49" fontId="2" fillId="0" borderId="4" xfId="0" applyNumberFormat="1" applyFont="1" applyBorder="1" applyAlignment="1">
      <alignment vertical="center"/>
    </xf>
    <xf numFmtId="176" fontId="2" fillId="8" borderId="6" xfId="0" applyNumberFormat="1" applyFont="1" applyFill="1" applyBorder="1" applyAlignment="1">
      <alignment vertical="center"/>
    </xf>
    <xf numFmtId="177" fontId="9" fillId="0" borderId="0" xfId="0" applyNumberFormat="1" applyFont="1" applyAlignment="1">
      <alignment vertical="center"/>
    </xf>
    <xf numFmtId="177" fontId="9" fillId="0" borderId="7" xfId="0" applyNumberFormat="1" applyFont="1" applyBorder="1" applyAlignment="1">
      <alignment vertical="center"/>
    </xf>
    <xf numFmtId="177" fontId="7" fillId="0" borderId="0" xfId="0" applyNumberFormat="1" applyFont="1" applyAlignment="1">
      <alignment vertical="center"/>
    </xf>
    <xf numFmtId="4" fontId="2" fillId="2" borderId="4" xfId="0" applyNumberFormat="1" applyFont="1" applyFill="1" applyBorder="1" applyAlignment="1"/>
    <xf numFmtId="4" fontId="22" fillId="2" borderId="8" xfId="0" applyNumberFormat="1" applyFont="1" applyFill="1" applyBorder="1" applyAlignment="1"/>
    <xf numFmtId="3" fontId="17" fillId="4" borderId="5" xfId="0" applyNumberFormat="1" applyFont="1" applyFill="1" applyBorder="1" applyAlignment="1"/>
    <xf numFmtId="177" fontId="2" fillId="0" borderId="1" xfId="0" applyNumberFormat="1" applyFont="1" applyBorder="1" applyAlignment="1" applyProtection="1">
      <alignment horizontal="center" vertical="center" wrapText="1"/>
    </xf>
    <xf numFmtId="177" fontId="2" fillId="0" borderId="1" xfId="0" applyNumberFormat="1" applyFont="1" applyBorder="1" applyAlignment="1" applyProtection="1">
      <alignment horizontal="center" vertical="center"/>
    </xf>
    <xf numFmtId="40" fontId="2" fillId="5" borderId="3" xfId="0" applyNumberFormat="1" applyFont="1" applyFill="1" applyBorder="1" applyProtection="1">
      <protection locked="0"/>
    </xf>
    <xf numFmtId="40" fontId="22" fillId="5" borderId="3" xfId="0" applyNumberFormat="1" applyFont="1" applyFill="1" applyBorder="1" applyProtection="1">
      <protection locked="0"/>
    </xf>
    <xf numFmtId="4" fontId="2" fillId="5" borderId="3" xfId="0" applyNumberFormat="1" applyFont="1" applyFill="1" applyBorder="1" applyProtection="1">
      <protection locked="0"/>
    </xf>
    <xf numFmtId="4" fontId="22" fillId="5" borderId="3" xfId="0" applyNumberFormat="1" applyFont="1" applyFill="1" applyBorder="1" applyProtection="1">
      <protection locked="0"/>
    </xf>
    <xf numFmtId="177" fontId="18" fillId="0" borderId="0" xfId="0" applyNumberFormat="1" applyFont="1" applyAlignment="1">
      <alignment horizontal="center" vertical="center"/>
    </xf>
    <xf numFmtId="177" fontId="15" fillId="0" borderId="0" xfId="0" applyNumberFormat="1" applyFont="1" applyAlignment="1">
      <alignment horizontal="center" vertical="top" wrapText="1"/>
    </xf>
    <xf numFmtId="177" fontId="7" fillId="0" borderId="0" xfId="0" applyNumberFormat="1" applyFont="1" applyBorder="1"/>
    <xf numFmtId="177" fontId="18" fillId="6" borderId="0" xfId="0" applyNumberFormat="1" applyFont="1" applyFill="1" applyBorder="1" applyAlignment="1" applyProtection="1">
      <alignment horizontal="center" vertical="center"/>
      <protection locked="0"/>
    </xf>
    <xf numFmtId="177" fontId="5" fillId="0" borderId="0" xfId="0" applyNumberFormat="1" applyFont="1" applyProtection="1">
      <protection locked="0"/>
    </xf>
    <xf numFmtId="177" fontId="18" fillId="0" borderId="0" xfId="0" applyNumberFormat="1" applyFont="1" applyAlignment="1">
      <alignment horizontal="center" vertical="center"/>
    </xf>
    <xf numFmtId="177" fontId="18" fillId="0" borderId="0" xfId="0" applyNumberFormat="1" applyFont="1" applyBorder="1" applyAlignment="1">
      <alignment horizontal="center" vertical="center"/>
    </xf>
    <xf numFmtId="177" fontId="23" fillId="0" borderId="0" xfId="1" applyNumberFormat="1" applyFont="1" applyAlignment="1" applyProtection="1">
      <alignment horizontal="center" vertical="center" wrapText="1"/>
    </xf>
    <xf numFmtId="177" fontId="20" fillId="0" borderId="10" xfId="0" applyNumberFormat="1" applyFont="1" applyBorder="1" applyAlignment="1">
      <alignment horizontal="left" vertical="center"/>
    </xf>
    <xf numFmtId="177" fontId="20" fillId="0" borderId="7" xfId="0" applyNumberFormat="1" applyFont="1" applyBorder="1" applyAlignment="1">
      <alignment horizontal="left" vertical="center"/>
    </xf>
    <xf numFmtId="177" fontId="17" fillId="0" borderId="2" xfId="0" applyNumberFormat="1"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177" fontId="17" fillId="0" borderId="2" xfId="0" applyNumberFormat="1" applyFont="1" applyBorder="1" applyAlignment="1">
      <alignment vertical="center" wrapText="1"/>
    </xf>
    <xf numFmtId="0" fontId="2" fillId="0" borderId="6" xfId="0" applyFont="1" applyBorder="1" applyAlignment="1">
      <alignment vertical="center" wrapText="1"/>
    </xf>
    <xf numFmtId="183" fontId="17" fillId="8" borderId="6" xfId="0" applyNumberFormat="1" applyFont="1" applyFill="1" applyBorder="1" applyAlignment="1">
      <alignment vertical="center" wrapText="1"/>
    </xf>
    <xf numFmtId="0" fontId="17" fillId="8" borderId="6" xfId="0" applyFont="1" applyFill="1" applyBorder="1" applyAlignment="1">
      <alignment vertical="center" wrapText="1"/>
    </xf>
    <xf numFmtId="0" fontId="17" fillId="0" borderId="2" xfId="0" applyFont="1" applyBorder="1" applyAlignment="1">
      <alignment vertical="center"/>
    </xf>
    <xf numFmtId="177" fontId="17" fillId="0" borderId="2" xfId="0" applyNumberFormat="1" applyFont="1" applyBorder="1" applyAlignment="1">
      <alignment horizontal="left" vertical="top" wrapText="1"/>
    </xf>
    <xf numFmtId="0" fontId="2" fillId="0" borderId="6" xfId="0" applyFont="1" applyBorder="1" applyAlignment="1">
      <alignment horizontal="left" vertical="top" wrapText="1"/>
    </xf>
    <xf numFmtId="0" fontId="0" fillId="0" borderId="6" xfId="0" applyBorder="1" applyAlignment="1">
      <alignment vertical="center"/>
    </xf>
    <xf numFmtId="0" fontId="2" fillId="8" borderId="6" xfId="0" applyFont="1" applyFill="1" applyBorder="1" applyAlignment="1">
      <alignment vertical="center" wrapText="1"/>
    </xf>
    <xf numFmtId="0" fontId="0" fillId="0" borderId="6" xfId="0" applyBorder="1" applyAlignment="1">
      <alignment vertical="center" wrapText="1"/>
    </xf>
    <xf numFmtId="177" fontId="27" fillId="8" borderId="2" xfId="0" applyNumberFormat="1" applyFont="1" applyFill="1" applyBorder="1" applyAlignment="1">
      <alignment horizontal="left" vertical="center" wrapText="1"/>
    </xf>
    <xf numFmtId="177" fontId="27" fillId="8" borderId="6" xfId="0" applyNumberFormat="1" applyFont="1" applyFill="1" applyBorder="1" applyAlignment="1">
      <alignment horizontal="left" vertical="center" wrapText="1"/>
    </xf>
    <xf numFmtId="177" fontId="27" fillId="8" borderId="3" xfId="0" applyNumberFormat="1" applyFont="1" applyFill="1" applyBorder="1" applyAlignment="1">
      <alignment horizontal="left" vertical="center" wrapText="1"/>
    </xf>
    <xf numFmtId="0" fontId="21" fillId="0" borderId="11" xfId="1" applyFont="1" applyBorder="1" applyAlignment="1" applyProtection="1">
      <alignment vertical="center"/>
    </xf>
    <xf numFmtId="0" fontId="2" fillId="0" borderId="11" xfId="0" applyFont="1" applyBorder="1"/>
    <xf numFmtId="0" fontId="0" fillId="8" borderId="6" xfId="0" applyFont="1" applyFill="1" applyBorder="1" applyAlignment="1">
      <alignment vertical="center" wrapText="1"/>
    </xf>
    <xf numFmtId="0" fontId="0" fillId="0" borderId="6" xfId="0" applyFont="1" applyBorder="1" applyAlignment="1">
      <alignment vertical="center"/>
    </xf>
    <xf numFmtId="0" fontId="2" fillId="0" borderId="8" xfId="0" applyFont="1" applyBorder="1" applyAlignment="1">
      <alignment vertical="center" wrapText="1"/>
    </xf>
    <xf numFmtId="0" fontId="0" fillId="0" borderId="8" xfId="0" applyFont="1" applyBorder="1" applyAlignment="1">
      <alignment vertical="center" wrapText="1"/>
    </xf>
    <xf numFmtId="177" fontId="2" fillId="0" borderId="2" xfId="0" applyNumberFormat="1" applyFont="1" applyBorder="1" applyAlignment="1">
      <alignment horizontal="center"/>
    </xf>
    <xf numFmtId="0" fontId="0" fillId="0" borderId="3" xfId="0" applyFont="1" applyBorder="1" applyAlignment="1">
      <alignment horizontal="center"/>
    </xf>
    <xf numFmtId="0" fontId="17" fillId="0" borderId="12" xfId="0" applyFont="1" applyBorder="1" applyAlignment="1">
      <alignment vertical="center"/>
    </xf>
    <xf numFmtId="0" fontId="12" fillId="0" borderId="12" xfId="0" applyFont="1" applyBorder="1" applyAlignment="1">
      <alignment vertical="center"/>
    </xf>
    <xf numFmtId="177" fontId="24" fillId="0" borderId="0" xfId="1" applyNumberFormat="1" applyFont="1" applyAlignment="1" applyProtection="1">
      <alignment horizontal="center" vertical="center" wrapText="1"/>
    </xf>
    <xf numFmtId="177" fontId="17" fillId="0" borderId="2" xfId="0" applyNumberFormat="1" applyFont="1" applyBorder="1" applyAlignment="1">
      <alignment vertical="top"/>
    </xf>
    <xf numFmtId="0" fontId="17" fillId="0" borderId="6" xfId="0" applyFont="1" applyBorder="1"/>
    <xf numFmtId="0" fontId="17" fillId="0" borderId="3" xfId="0" applyFont="1" applyBorder="1"/>
    <xf numFmtId="177" fontId="15" fillId="0" borderId="0" xfId="0" applyNumberFormat="1" applyFont="1" applyAlignment="1">
      <alignment horizontal="center"/>
    </xf>
    <xf numFmtId="0" fontId="17" fillId="0" borderId="6" xfId="0" applyFont="1" applyBorder="1" applyAlignment="1">
      <alignment horizontal="left" vertical="top" wrapText="1"/>
    </xf>
    <xf numFmtId="0" fontId="2" fillId="8" borderId="6" xfId="0" applyFont="1" applyFill="1" applyBorder="1" applyAlignment="1">
      <alignment vertical="center"/>
    </xf>
    <xf numFmtId="0" fontId="17" fillId="0" borderId="6" xfId="0" applyFont="1" applyBorder="1" applyAlignment="1">
      <alignment vertical="center" wrapText="1"/>
    </xf>
    <xf numFmtId="0" fontId="17" fillId="0" borderId="6" xfId="0" applyFont="1" applyBorder="1" applyAlignment="1">
      <alignment vertical="center"/>
    </xf>
    <xf numFmtId="0" fontId="17" fillId="0" borderId="3" xfId="0" applyFont="1" applyBorder="1" applyAlignment="1">
      <alignment vertical="center"/>
    </xf>
    <xf numFmtId="0" fontId="0" fillId="0" borderId="3" xfId="0" applyBorder="1" applyAlignment="1">
      <alignment horizontal="center"/>
    </xf>
    <xf numFmtId="0" fontId="0" fillId="0" borderId="8" xfId="0" applyBorder="1" applyAlignment="1">
      <alignment vertical="center" wrapText="1"/>
    </xf>
    <xf numFmtId="176" fontId="2" fillId="8" borderId="6" xfId="0" applyNumberFormat="1" applyFont="1" applyFill="1" applyBorder="1" applyAlignment="1">
      <alignment vertical="center"/>
    </xf>
    <xf numFmtId="0" fontId="10" fillId="0" borderId="2" xfId="0" applyFont="1" applyBorder="1" applyAlignment="1">
      <alignment vertical="center"/>
    </xf>
    <xf numFmtId="0" fontId="0" fillId="0" borderId="3" xfId="0" applyBorder="1" applyAlignment="1">
      <alignment vertical="center"/>
    </xf>
    <xf numFmtId="177" fontId="15" fillId="0" borderId="0" xfId="0" applyNumberFormat="1" applyFont="1" applyAlignment="1">
      <alignment horizontal="center" vertical="top" wrapText="1"/>
    </xf>
    <xf numFmtId="176" fontId="2" fillId="8" borderId="6" xfId="0" applyNumberFormat="1" applyFont="1" applyFill="1" applyBorder="1" applyAlignment="1">
      <alignment vertical="center" wrapText="1"/>
    </xf>
    <xf numFmtId="177" fontId="2" fillId="0" borderId="3" xfId="0" applyNumberFormat="1" applyFont="1" applyBorder="1" applyAlignment="1">
      <alignment horizontal="center"/>
    </xf>
    <xf numFmtId="0" fontId="0" fillId="0" borderId="8" xfId="0" applyBorder="1" applyAlignment="1">
      <alignment vertical="center"/>
    </xf>
    <xf numFmtId="182" fontId="23" fillId="0" borderId="0" xfId="0" applyNumberFormat="1" applyFont="1" applyAlignment="1">
      <alignment horizontal="center" vertical="center" wrapText="1"/>
    </xf>
    <xf numFmtId="0" fontId="0" fillId="0" borderId="12" xfId="0" applyBorder="1" applyAlignment="1">
      <alignment vertical="center"/>
    </xf>
  </cellXfs>
  <cellStyles count="2">
    <cellStyle name="一般" xfId="0" builtinId="0"/>
    <cellStyle name="超連結" xfId="1" builtinId="8"/>
  </cellStyles>
  <dxfs count="0"/>
  <tableStyles count="0" defaultTableStyle="TableStyleMedium9" defaultPivotStyle="PivotStyleLight16"/>
  <colors>
    <mruColors>
      <color rgb="FF0000FF"/>
      <color rgb="FFFFBF61"/>
      <color rgb="FFFFBB57"/>
      <color rgb="FFFFC6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    Annual    '!$L$9" lockText="1"/>
</file>

<file path=xl/ctrlProps/ctrlProp10.xml><?xml version="1.0" encoding="utf-8"?>
<formControlPr xmlns="http://schemas.microsoft.com/office/spreadsheetml/2009/9/main" objectType="Radio" checked="Checked" firstButton="1" fmlaLink="$L$9"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    Annual    '!$L$4" lockText="1"/>
</file>

<file path=xl/ctrlProps/ctrlProp15.xml><?xml version="1.0" encoding="utf-8"?>
<formControlPr xmlns="http://schemas.microsoft.com/office/spreadsheetml/2009/9/main" objectType="Radio" checked="Checked"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    Annual    '!$L$4"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Radio" checked="Checked" firstButton="1" fmlaLink="'    Annual    '!$L$9"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xdr:row>
          <xdr:rowOff>57150</xdr:rowOff>
        </xdr:from>
        <xdr:to>
          <xdr:col>2</xdr:col>
          <xdr:colOff>95250</xdr:colOff>
          <xdr:row>5</xdr:row>
          <xdr:rowOff>238125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161925</xdr:rowOff>
        </xdr:from>
        <xdr:to>
          <xdr:col>2</xdr:col>
          <xdr:colOff>76200</xdr:colOff>
          <xdr:row>6</xdr:row>
          <xdr:rowOff>371475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28575</xdr:rowOff>
        </xdr:from>
        <xdr:to>
          <xdr:col>2</xdr:col>
          <xdr:colOff>85725</xdr:colOff>
          <xdr:row>7</xdr:row>
          <xdr:rowOff>209550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xdr:row>
          <xdr:rowOff>228600</xdr:rowOff>
        </xdr:from>
        <xdr:to>
          <xdr:col>9</xdr:col>
          <xdr:colOff>590550</xdr:colOff>
          <xdr:row>3</xdr:row>
          <xdr:rowOff>466725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3</xdr:row>
          <xdr:rowOff>228600</xdr:rowOff>
        </xdr:from>
        <xdr:to>
          <xdr:col>9</xdr:col>
          <xdr:colOff>1390650</xdr:colOff>
          <xdr:row>3</xdr:row>
          <xdr:rowOff>466725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xdr:row>
          <xdr:rowOff>47625</xdr:rowOff>
        </xdr:from>
        <xdr:to>
          <xdr:col>2</xdr:col>
          <xdr:colOff>95250</xdr:colOff>
          <xdr:row>4</xdr:row>
          <xdr:rowOff>228600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152400</xdr:rowOff>
        </xdr:from>
        <xdr:to>
          <xdr:col>2</xdr:col>
          <xdr:colOff>76200</xdr:colOff>
          <xdr:row>5</xdr:row>
          <xdr:rowOff>361950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28575</xdr:rowOff>
        </xdr:from>
        <xdr:to>
          <xdr:col>2</xdr:col>
          <xdr:colOff>85725</xdr:colOff>
          <xdr:row>6</xdr:row>
          <xdr:rowOff>209550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xdr:row>
          <xdr:rowOff>47625</xdr:rowOff>
        </xdr:from>
        <xdr:to>
          <xdr:col>2</xdr:col>
          <xdr:colOff>95250</xdr:colOff>
          <xdr:row>5</xdr:row>
          <xdr:rowOff>228600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142875</xdr:rowOff>
        </xdr:from>
        <xdr:to>
          <xdr:col>2</xdr:col>
          <xdr:colOff>76200</xdr:colOff>
          <xdr:row>6</xdr:row>
          <xdr:rowOff>361950</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28575</xdr:rowOff>
        </xdr:from>
        <xdr:to>
          <xdr:col>2</xdr:col>
          <xdr:colOff>85725</xdr:colOff>
          <xdr:row>7</xdr:row>
          <xdr:rowOff>209550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3109" name="Group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xdr:row>
          <xdr:rowOff>228600</xdr:rowOff>
        </xdr:from>
        <xdr:to>
          <xdr:col>9</xdr:col>
          <xdr:colOff>590550</xdr:colOff>
          <xdr:row>3</xdr:row>
          <xdr:rowOff>466725</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3</xdr:row>
          <xdr:rowOff>228600</xdr:rowOff>
        </xdr:from>
        <xdr:to>
          <xdr:col>9</xdr:col>
          <xdr:colOff>1390650</xdr:colOff>
          <xdr:row>3</xdr:row>
          <xdr:rowOff>466725</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No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dsf.gov.mo/" TargetMode="External"/><Relationship Id="rId1" Type="http://schemas.openxmlformats.org/officeDocument/2006/relationships/printerSettings" Target="../printerSettings/printerSettings1.bin"/><Relationship Id="rId6" Type="http://schemas.openxmlformats.org/officeDocument/2006/relationships/image" Target="../media/image1.png"/><Relationship Id="rId11" Type="http://schemas.openxmlformats.org/officeDocument/2006/relationships/ctrlProp" Target="../ctrlProps/ctrlProp5.xml"/><Relationship Id="rId5" Type="http://schemas.openxmlformats.org/officeDocument/2006/relationships/vmlDrawing" Target="../drawings/vmlDrawing1.v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printerSettings" Target="../printerSettings/printerSettings4.bin"/><Relationship Id="rId7" Type="http://schemas.openxmlformats.org/officeDocument/2006/relationships/ctrlProp" Target="../ctrlProps/ctrlProp7.xml"/><Relationship Id="rId2" Type="http://schemas.openxmlformats.org/officeDocument/2006/relationships/hyperlink" Target="http://www.dsf.gov.mo/" TargetMode="External"/><Relationship Id="rId1" Type="http://schemas.openxmlformats.org/officeDocument/2006/relationships/printerSettings" Target="../printerSettings/printerSettings3.bin"/><Relationship Id="rId6" Type="http://schemas.openxmlformats.org/officeDocument/2006/relationships/image" Target="../media/image1.png"/><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6.bin"/><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hyperlink" Target="http://www.dsf.gov.mo/" TargetMode="External"/><Relationship Id="rId1" Type="http://schemas.openxmlformats.org/officeDocument/2006/relationships/printerSettings" Target="../printerSettings/printerSettings5.bin"/><Relationship Id="rId6" Type="http://schemas.openxmlformats.org/officeDocument/2006/relationships/image" Target="../media/image1.png"/><Relationship Id="rId11" Type="http://schemas.openxmlformats.org/officeDocument/2006/relationships/ctrlProp" Target="../ctrlProps/ctrlProp14.xml"/><Relationship Id="rId5" Type="http://schemas.openxmlformats.org/officeDocument/2006/relationships/vmlDrawing" Target="../drawings/vmlDrawing3.vml"/><Relationship Id="rId10" Type="http://schemas.openxmlformats.org/officeDocument/2006/relationships/ctrlProp" Target="../ctrlProps/ctrlProp13.xml"/><Relationship Id="rId4" Type="http://schemas.openxmlformats.org/officeDocument/2006/relationships/drawing" Target="../drawings/drawing3.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C000"/>
    <pageSetUpPr fitToPage="1"/>
  </sheetPr>
  <dimension ref="A1:IT51"/>
  <sheetViews>
    <sheetView showGridLines="0" showRowColHeaders="0" tabSelected="1" workbookViewId="0">
      <selection activeCell="J7" sqref="J7"/>
    </sheetView>
  </sheetViews>
  <sheetFormatPr defaultColWidth="0" defaultRowHeight="0" customHeight="1" zeroHeight="1" x14ac:dyDescent="0.25"/>
  <cols>
    <col min="1" max="1" width="0.875" style="1" customWidth="1"/>
    <col min="2" max="2" width="2.75" style="1" customWidth="1"/>
    <col min="3" max="3" width="3.625" style="1" customWidth="1"/>
    <col min="4" max="5" width="18.375" style="1" customWidth="1"/>
    <col min="6" max="6" width="9.125" style="1" customWidth="1"/>
    <col min="7" max="9" width="15.625" style="1" customWidth="1"/>
    <col min="10" max="10" width="19.75" style="1" customWidth="1"/>
    <col min="11" max="11" width="1.75" style="1" customWidth="1"/>
    <col min="12" max="254" width="0" style="1" hidden="1" customWidth="1"/>
    <col min="255" max="16384" width="8.75" style="1" hidden="1"/>
  </cols>
  <sheetData>
    <row r="1" spans="2:254" ht="25.5" x14ac:dyDescent="0.4">
      <c r="B1" s="25" t="str">
        <f>IF(J5=""," Monthly Salaries Tax Calculation",J5&amp;" Monthly Salaries Tax Calculation")</f>
        <v>2026 Monthly Salaries Tax Calculation</v>
      </c>
      <c r="C1" s="24"/>
      <c r="D1" s="24"/>
      <c r="E1" s="24"/>
      <c r="F1" s="24"/>
      <c r="G1" s="24"/>
      <c r="H1" s="24"/>
      <c r="I1" s="24"/>
      <c r="J1" s="24"/>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row>
    <row r="2" spans="2:254" s="10" customFormat="1" ht="22.5" customHeight="1" x14ac:dyDescent="0.25">
      <c r="B2" s="92" t="str">
        <f>L11</f>
        <v>(Selected – Under the age of 65)</v>
      </c>
      <c r="C2" s="92"/>
      <c r="D2" s="92"/>
      <c r="E2" s="92"/>
      <c r="F2" s="92"/>
      <c r="G2" s="92"/>
      <c r="H2" s="92"/>
      <c r="I2" s="92"/>
      <c r="J2" s="92"/>
    </row>
    <row r="3" spans="2:254" s="5" customFormat="1" ht="22.5" customHeight="1" x14ac:dyDescent="0.25">
      <c r="B3" s="90" t="str">
        <f>L12</f>
        <v/>
      </c>
      <c r="C3" s="90"/>
      <c r="D3" s="91"/>
      <c r="E3" s="91"/>
      <c r="F3" s="91"/>
      <c r="G3" s="91"/>
      <c r="H3" s="91"/>
      <c r="I3" s="91"/>
      <c r="J3" s="91"/>
    </row>
    <row r="4" spans="2:254" s="5" customFormat="1" ht="51" customHeight="1" x14ac:dyDescent="0.25">
      <c r="B4" s="85"/>
      <c r="C4" s="85"/>
      <c r="D4" s="108" t="s">
        <v>50</v>
      </c>
      <c r="E4" s="109"/>
      <c r="F4" s="109"/>
      <c r="G4" s="109"/>
      <c r="H4" s="109"/>
      <c r="I4" s="110"/>
      <c r="J4" s="88"/>
    </row>
    <row r="5" spans="2:254" s="5" customFormat="1" ht="20.25" customHeight="1" x14ac:dyDescent="0.25">
      <c r="B5" s="26"/>
      <c r="C5" s="27"/>
      <c r="D5" s="103" t="s">
        <v>53</v>
      </c>
      <c r="E5" s="104"/>
      <c r="F5" s="104"/>
      <c r="G5" s="104"/>
      <c r="H5" s="104"/>
      <c r="I5" s="104"/>
      <c r="J5" s="48">
        <v>2026</v>
      </c>
    </row>
    <row r="6" spans="2:254" s="5" customFormat="1" ht="20.25" customHeight="1" x14ac:dyDescent="0.25">
      <c r="B6" s="28"/>
      <c r="C6" s="32"/>
      <c r="D6" s="95" t="str">
        <f>'    Annual    '!M24</f>
        <v>Under the age of 65</v>
      </c>
      <c r="E6" s="96"/>
      <c r="F6" s="96"/>
      <c r="G6" s="96"/>
      <c r="H6" s="96"/>
      <c r="I6" s="96"/>
      <c r="J6" s="97"/>
    </row>
    <row r="7" spans="2:254" s="5" customFormat="1" ht="39" customHeight="1" x14ac:dyDescent="0.25">
      <c r="B7" s="28"/>
      <c r="C7" s="32"/>
      <c r="D7" s="98" t="str">
        <f ca="1">'    Annual    '!N24</f>
        <v>Just reached the age of 65 in the year of 2026</v>
      </c>
      <c r="E7" s="99"/>
      <c r="F7" s="100" t="str">
        <f ca="1">'    Annual    '!N27</f>
        <v/>
      </c>
      <c r="G7" s="101"/>
      <c r="H7" s="101"/>
      <c r="I7" s="101"/>
      <c r="J7" s="31"/>
    </row>
    <row r="8" spans="2:254" s="5" customFormat="1" ht="20.25" customHeight="1" x14ac:dyDescent="0.25">
      <c r="B8" s="29"/>
      <c r="C8" s="30"/>
      <c r="D8" s="102" t="str">
        <f>'    Annual    '!O24</f>
        <v>Over the age of 65 / Disabled persons</v>
      </c>
      <c r="E8" s="96"/>
      <c r="F8" s="96"/>
      <c r="G8" s="96"/>
      <c r="H8" s="96"/>
      <c r="I8" s="96"/>
      <c r="J8" s="97"/>
    </row>
    <row r="9" spans="2:254" s="11" customFormat="1" ht="20.25" customHeight="1" x14ac:dyDescent="0.25">
      <c r="B9" s="59" t="s">
        <v>6</v>
      </c>
      <c r="C9" s="106" t="s">
        <v>51</v>
      </c>
      <c r="D9" s="113"/>
      <c r="E9" s="113"/>
      <c r="F9" s="113"/>
      <c r="G9" s="113"/>
      <c r="H9" s="113"/>
      <c r="I9" s="113"/>
      <c r="J9" s="81"/>
    </row>
    <row r="10" spans="2:254" s="11" customFormat="1" ht="20.25" customHeight="1" x14ac:dyDescent="0.25">
      <c r="B10" s="59" t="s">
        <v>7</v>
      </c>
      <c r="C10" s="106" t="s">
        <v>24</v>
      </c>
      <c r="D10" s="107"/>
      <c r="E10" s="107"/>
      <c r="F10" s="107"/>
      <c r="G10" s="107"/>
      <c r="H10" s="107"/>
      <c r="I10" s="107"/>
      <c r="J10" s="82"/>
    </row>
    <row r="11" spans="2:254" s="11" customFormat="1" ht="19.5" customHeight="1" x14ac:dyDescent="0.25">
      <c r="B11" s="60" t="s">
        <v>8</v>
      </c>
      <c r="C11" s="99" t="s">
        <v>48</v>
      </c>
      <c r="D11" s="114"/>
      <c r="E11" s="114"/>
      <c r="F11" s="114"/>
      <c r="G11" s="114"/>
      <c r="H11" s="114"/>
      <c r="I11" s="114"/>
      <c r="J11" s="33">
        <f>(J9-J10)*25%</f>
        <v>0</v>
      </c>
      <c r="L11" s="11" t="str">
        <f>"("&amp;'    Annual    '!O7&amp;")"</f>
        <v>(Selected – Under the age of 65)</v>
      </c>
    </row>
    <row r="12" spans="2:254" s="11" customFormat="1" ht="19.5" hidden="1" customHeight="1" x14ac:dyDescent="0.25">
      <c r="B12" s="61" t="s">
        <v>10</v>
      </c>
      <c r="C12" s="62" t="s">
        <v>9</v>
      </c>
      <c r="D12" s="62"/>
      <c r="E12" s="62"/>
      <c r="F12" s="62"/>
      <c r="G12" s="62"/>
      <c r="H12" s="62"/>
      <c r="I12" s="62"/>
      <c r="J12" s="34">
        <f>SUM(J10:J11)</f>
        <v>0</v>
      </c>
      <c r="L12" s="19" t="str">
        <f>'    Annual    '!N7</f>
        <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row>
    <row r="13" spans="2:254" s="11" customFormat="1" ht="19.5" customHeight="1" x14ac:dyDescent="0.25">
      <c r="B13" s="61" t="s">
        <v>22</v>
      </c>
      <c r="C13" s="96" t="s">
        <v>34</v>
      </c>
      <c r="D13" s="105"/>
      <c r="E13" s="105"/>
      <c r="F13" s="105"/>
      <c r="G13" s="105"/>
      <c r="H13" s="105"/>
      <c r="I13" s="105"/>
      <c r="J13" s="35">
        <f>J9-J10-J11</f>
        <v>0</v>
      </c>
    </row>
    <row r="14" spans="2:254" s="11" customFormat="1" ht="7.5" customHeight="1" x14ac:dyDescent="0.25">
      <c r="B14" s="12"/>
      <c r="C14" s="32"/>
      <c r="D14" s="32"/>
      <c r="E14" s="32"/>
      <c r="F14" s="32"/>
      <c r="G14" s="32"/>
      <c r="H14" s="32"/>
      <c r="I14" s="32"/>
      <c r="J14" s="36"/>
    </row>
    <row r="15" spans="2:254" s="11" customFormat="1" ht="31.5" x14ac:dyDescent="0.25">
      <c r="B15" s="12"/>
      <c r="C15" s="32"/>
      <c r="D15" s="80" t="s">
        <v>25</v>
      </c>
      <c r="E15" s="80" t="s">
        <v>26</v>
      </c>
      <c r="F15" s="80" t="s">
        <v>27</v>
      </c>
      <c r="G15" s="79" t="s">
        <v>28</v>
      </c>
      <c r="H15" s="79" t="s">
        <v>29</v>
      </c>
      <c r="I15" s="79" t="s">
        <v>30</v>
      </c>
      <c r="J15" s="32"/>
    </row>
    <row r="16" spans="2:254" s="11" customFormat="1" ht="16.5" customHeight="1" x14ac:dyDescent="0.25">
      <c r="B16" s="12"/>
      <c r="C16" s="32"/>
      <c r="D16" s="37">
        <v>0</v>
      </c>
      <c r="E16" s="37">
        <f>'    Annual    '!E16/12</f>
        <v>12000</v>
      </c>
      <c r="F16" s="38">
        <v>0</v>
      </c>
      <c r="G16" s="39">
        <f>MIN(E16,J13)</f>
        <v>0</v>
      </c>
      <c r="H16" s="39">
        <f>ROUNDDOWN(G16*F16,2)</f>
        <v>0</v>
      </c>
      <c r="I16" s="39">
        <f>H16</f>
        <v>0</v>
      </c>
      <c r="J16" s="32"/>
    </row>
    <row r="17" spans="2:11" s="11" customFormat="1" ht="16.5" customHeight="1" x14ac:dyDescent="0.25">
      <c r="B17" s="12"/>
      <c r="C17" s="32"/>
      <c r="D17" s="37">
        <f>E16+0.01</f>
        <v>12000.01</v>
      </c>
      <c r="E17" s="37">
        <f>'    Annual    '!E17/12</f>
        <v>13666.666666666666</v>
      </c>
      <c r="F17" s="38">
        <v>7.0000000000000007E-2</v>
      </c>
      <c r="G17" s="39">
        <f>MIN(E17-E16,$J$13-SUM($G$16:G16))</f>
        <v>0</v>
      </c>
      <c r="H17" s="39">
        <f>IF(G17=0,0,ROUNDDOWN(G17*F17-(H16-G16*F16),2))</f>
        <v>0</v>
      </c>
      <c r="I17" s="39">
        <f t="shared" ref="I17:I22" si="0">IF(H17=0,0,I16+H17)</f>
        <v>0</v>
      </c>
      <c r="J17" s="32"/>
    </row>
    <row r="18" spans="2:11" s="11" customFormat="1" ht="16.5" customHeight="1" x14ac:dyDescent="0.25">
      <c r="B18" s="12"/>
      <c r="C18" s="32"/>
      <c r="D18" s="37">
        <f>E17+0.01</f>
        <v>13666.676666666666</v>
      </c>
      <c r="E18" s="37">
        <f>'    Annual    '!E18/12</f>
        <v>15333.333333333334</v>
      </c>
      <c r="F18" s="38">
        <v>0.08</v>
      </c>
      <c r="G18" s="39">
        <f>MIN(E18-E17,$J$13-SUM($G$16:G17))</f>
        <v>0</v>
      </c>
      <c r="H18" s="39">
        <f>IF(G18=0,0,ROUNDDOWN(G18*F18-(SUM($H$17:H17)-G17*F17),2))</f>
        <v>0</v>
      </c>
      <c r="I18" s="39">
        <f t="shared" si="0"/>
        <v>0</v>
      </c>
      <c r="J18" s="32"/>
    </row>
    <row r="19" spans="2:11" s="11" customFormat="1" ht="16.5" customHeight="1" x14ac:dyDescent="0.25">
      <c r="B19" s="12"/>
      <c r="C19" s="32"/>
      <c r="D19" s="37">
        <f>E18+0.01</f>
        <v>15333.343333333334</v>
      </c>
      <c r="E19" s="37">
        <f>'    Annual    '!E19/12</f>
        <v>18666.666666666668</v>
      </c>
      <c r="F19" s="38">
        <v>0.09</v>
      </c>
      <c r="G19" s="39">
        <f>MIN(E19-E18,$J$13-SUM($G$16:G18))</f>
        <v>0</v>
      </c>
      <c r="H19" s="39">
        <f>IF(G19=0,0,ROUNDDOWN(G19*F19-(SUM($H$17:H18)-G18*F18-G17*F17),2))</f>
        <v>0</v>
      </c>
      <c r="I19" s="39">
        <f t="shared" si="0"/>
        <v>0</v>
      </c>
      <c r="J19" s="32"/>
    </row>
    <row r="20" spans="2:11" s="11" customFormat="1" ht="16.5" customHeight="1" x14ac:dyDescent="0.25">
      <c r="B20" s="12"/>
      <c r="C20" s="32"/>
      <c r="D20" s="37">
        <f>E19+0.01</f>
        <v>18666.676666666666</v>
      </c>
      <c r="E20" s="37">
        <f>'    Annual    '!E20/12</f>
        <v>25333.333333333332</v>
      </c>
      <c r="F20" s="38">
        <v>0.1</v>
      </c>
      <c r="G20" s="39">
        <f>MIN(E20-E19,$J$13-SUM($G$16:G19))</f>
        <v>0</v>
      </c>
      <c r="H20" s="39">
        <f>IF(G20=0,0,ROUNDDOWN(G20*F20-(SUM($H$17:H19)-G19*F19-G18*F18-G17*F17),2))</f>
        <v>0</v>
      </c>
      <c r="I20" s="39">
        <f t="shared" si="0"/>
        <v>0</v>
      </c>
      <c r="J20" s="32"/>
    </row>
    <row r="21" spans="2:11" s="11" customFormat="1" ht="16.5" customHeight="1" x14ac:dyDescent="0.25">
      <c r="B21" s="12"/>
      <c r="C21" s="32"/>
      <c r="D21" s="37">
        <f>E20+0.01</f>
        <v>25333.343333333331</v>
      </c>
      <c r="E21" s="37">
        <f>'    Annual    '!E21/12</f>
        <v>35333.333333333336</v>
      </c>
      <c r="F21" s="38">
        <v>0.11</v>
      </c>
      <c r="G21" s="39">
        <f>MIN(E21-E20,$J$13-SUM($G$16:G20))</f>
        <v>0</v>
      </c>
      <c r="H21" s="39">
        <f>IF(G21=0,0,ROUNDDOWN(G21*F21-(SUM($H$17:H20)-G20*F20-G19*F19-G18*F18-G17*F17),2))</f>
        <v>0</v>
      </c>
      <c r="I21" s="39">
        <f t="shared" si="0"/>
        <v>0</v>
      </c>
      <c r="J21" s="32"/>
    </row>
    <row r="22" spans="2:11" s="11" customFormat="1" ht="16.5" customHeight="1" x14ac:dyDescent="0.25">
      <c r="B22" s="12"/>
      <c r="C22" s="32"/>
      <c r="D22" s="117" t="str">
        <f>"Above " &amp; FIXED(E21,2,FALSE)</f>
        <v>Above 35,333.33</v>
      </c>
      <c r="E22" s="118"/>
      <c r="F22" s="38">
        <v>0.12</v>
      </c>
      <c r="G22" s="39">
        <f>$J$13-SUM($G$16:G21)</f>
        <v>0</v>
      </c>
      <c r="H22" s="39">
        <f>IF(G22=0,0,ROUNDDOWN(G22*F22-(SUM($H$17:H21)-G21*F21-G20*F20-G19*F19-G18*F18-G17*F17),2))</f>
        <v>0</v>
      </c>
      <c r="I22" s="39">
        <f t="shared" si="0"/>
        <v>0</v>
      </c>
      <c r="J22" s="32"/>
    </row>
    <row r="23" spans="2:11" s="11" customFormat="1" ht="7.5" customHeight="1" x14ac:dyDescent="0.25">
      <c r="B23" s="13"/>
      <c r="C23" s="40"/>
      <c r="D23" s="40"/>
      <c r="E23" s="41"/>
      <c r="F23" s="42"/>
      <c r="G23" s="43"/>
      <c r="H23" s="44"/>
      <c r="I23" s="44"/>
      <c r="J23" s="40"/>
    </row>
    <row r="24" spans="2:11" s="11" customFormat="1" ht="19.5" customHeight="1" x14ac:dyDescent="0.25">
      <c r="B24" s="61" t="s">
        <v>15</v>
      </c>
      <c r="C24" s="96" t="s">
        <v>31</v>
      </c>
      <c r="D24" s="114"/>
      <c r="E24" s="114"/>
      <c r="F24" s="114"/>
      <c r="G24" s="114"/>
      <c r="H24" s="114"/>
      <c r="I24" s="114"/>
      <c r="J24" s="45">
        <f>ROUNDDOWN(MAX(I16:I22),2)</f>
        <v>0</v>
      </c>
    </row>
    <row r="25" spans="2:11" s="11" customFormat="1" ht="39" customHeight="1" thickBot="1" x14ac:dyDescent="0.3">
      <c r="B25" s="65" t="s">
        <v>23</v>
      </c>
      <c r="C25" s="115" t="s">
        <v>32</v>
      </c>
      <c r="D25" s="116"/>
      <c r="E25" s="116"/>
      <c r="F25" s="116"/>
      <c r="G25" s="116"/>
      <c r="H25" s="116"/>
      <c r="I25" s="116"/>
      <c r="J25" s="46">
        <f>ROUNDDOWN(J24*30%,2)</f>
        <v>0</v>
      </c>
    </row>
    <row r="26" spans="2:11" s="11" customFormat="1" ht="19.5" customHeight="1" thickBot="1" x14ac:dyDescent="0.3">
      <c r="B26" s="66" t="s">
        <v>20</v>
      </c>
      <c r="C26" s="119" t="s">
        <v>33</v>
      </c>
      <c r="D26" s="120"/>
      <c r="E26" s="120"/>
      <c r="F26" s="120"/>
      <c r="G26" s="120"/>
      <c r="H26" s="120"/>
      <c r="I26" s="120"/>
      <c r="J26" s="47">
        <f>ROUNDUP(J24-J25,0)</f>
        <v>0</v>
      </c>
    </row>
    <row r="27" spans="2:11" s="11" customFormat="1" ht="16.5" customHeight="1" thickTop="1" x14ac:dyDescent="0.25">
      <c r="B27" s="63" t="s">
        <v>3</v>
      </c>
      <c r="C27" s="93" t="s">
        <v>35</v>
      </c>
      <c r="D27" s="93"/>
      <c r="E27" s="93"/>
      <c r="F27" s="93"/>
      <c r="G27" s="93"/>
      <c r="H27" s="93"/>
      <c r="I27" s="93"/>
      <c r="J27" s="93"/>
    </row>
    <row r="28" spans="2:11" s="11" customFormat="1" ht="16.5" customHeight="1" thickBot="1" x14ac:dyDescent="0.3">
      <c r="B28" s="64" t="s">
        <v>4</v>
      </c>
      <c r="C28" s="94" t="s">
        <v>36</v>
      </c>
      <c r="D28" s="94"/>
      <c r="E28" s="94"/>
      <c r="F28" s="94"/>
      <c r="G28" s="94"/>
      <c r="H28" s="94"/>
      <c r="I28" s="94"/>
      <c r="J28" s="94"/>
    </row>
    <row r="29" spans="2:11" s="11" customFormat="1" ht="15.75" x14ac:dyDescent="0.25">
      <c r="B29" s="111" t="s">
        <v>37</v>
      </c>
      <c r="C29" s="112"/>
      <c r="D29" s="112"/>
      <c r="E29" s="112"/>
      <c r="F29" s="112"/>
      <c r="G29" s="112"/>
      <c r="H29" s="112"/>
      <c r="I29" s="112"/>
      <c r="J29" s="112"/>
    </row>
    <row r="30" spans="2:11" ht="16.5" hidden="1" x14ac:dyDescent="0.25">
      <c r="B30" s="6" t="s">
        <v>0</v>
      </c>
      <c r="C30" s="7"/>
      <c r="D30" s="7"/>
      <c r="E30" s="7"/>
      <c r="F30" s="7"/>
      <c r="G30" s="7"/>
      <c r="H30" s="7"/>
      <c r="I30" s="7"/>
      <c r="J30" s="7"/>
      <c r="K30" s="4" t="e">
        <f>#REF!-G31</f>
        <v>#REF!</v>
      </c>
    </row>
    <row r="31" spans="2:11" ht="16.5" hidden="1" x14ac:dyDescent="0.25">
      <c r="B31" s="7"/>
      <c r="C31" s="7" t="s">
        <v>2</v>
      </c>
      <c r="D31" s="7"/>
      <c r="E31" s="7"/>
      <c r="F31" s="8">
        <v>0.25</v>
      </c>
      <c r="G31" s="9" t="e">
        <f>#REF!*F31</f>
        <v>#REF!</v>
      </c>
      <c r="H31" s="7"/>
      <c r="I31" s="7"/>
      <c r="J31" s="7"/>
    </row>
    <row r="32" spans="2:11" ht="16.5" hidden="1" x14ac:dyDescent="0.25">
      <c r="B32" s="6" t="s">
        <v>1</v>
      </c>
      <c r="C32" s="7"/>
      <c r="D32" s="7"/>
      <c r="E32" s="7"/>
      <c r="F32" s="7"/>
      <c r="G32" s="7"/>
      <c r="H32" s="7"/>
      <c r="I32" s="7"/>
      <c r="J32" s="7"/>
      <c r="K32" s="4" t="e">
        <f>K30/12</f>
        <v>#REF!</v>
      </c>
    </row>
    <row r="33" ht="16.5" hidden="1" x14ac:dyDescent="0.25"/>
    <row r="34" ht="16.5" hidden="1" x14ac:dyDescent="0.25"/>
    <row r="35" ht="16.5" hidden="1" x14ac:dyDescent="0.25"/>
    <row r="36" ht="16.5" hidden="1" x14ac:dyDescent="0.25"/>
    <row r="37" ht="16.5" hidden="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sheetData>
  <sheetProtection sheet="1" selectLockedCells="1"/>
  <customSheetViews>
    <customSheetView guid="{AA3E4D5E-3A47-45A8-BB43-466E3FB86B12}" showGridLines="0" showRowCol="0" fitToPage="1" hiddenRows="1" hiddenColumns="1" showRuler="0">
      <selection activeCell="J5" sqref="J5"/>
      <pageMargins left="0.74803149606299213" right="0.74803149606299213" top="0.98425196850393704" bottom="0.98425196850393704" header="0.51181102362204722" footer="0.51181102362204722"/>
      <printOptions horizontalCentered="1" verticalCentered="1"/>
      <pageSetup paperSize="9" orientation="landscape" r:id="rId1"/>
      <headerFooter alignWithMargins="0"/>
    </customSheetView>
  </customSheetViews>
  <mergeCells count="19">
    <mergeCell ref="B29:J29"/>
    <mergeCell ref="C9:I9"/>
    <mergeCell ref="C11:I11"/>
    <mergeCell ref="C24:I24"/>
    <mergeCell ref="C25:I25"/>
    <mergeCell ref="D22:E22"/>
    <mergeCell ref="C26:I26"/>
    <mergeCell ref="B3:J3"/>
    <mergeCell ref="B2:J2"/>
    <mergeCell ref="C27:J27"/>
    <mergeCell ref="C28:J28"/>
    <mergeCell ref="D6:J6"/>
    <mergeCell ref="D7:E7"/>
    <mergeCell ref="F7:I7"/>
    <mergeCell ref="D8:J8"/>
    <mergeCell ref="D5:I5"/>
    <mergeCell ref="C13:I13"/>
    <mergeCell ref="C10:I10"/>
    <mergeCell ref="D4:I4"/>
  </mergeCells>
  <phoneticPr fontId="1" type="noConversion"/>
  <dataValidations xWindow="806" yWindow="258" count="3">
    <dataValidation type="decimal" allowBlank="1" showErrorMessage="1" errorTitle="Attention:" error="The amount should be less than the gross monthly income." promptTitle="Monthly non-taxable income:" prompt="the amount should be less than the gross monthly income (please input value not less than zero and up to two decimal point)." sqref="J10" xr:uid="{00000000-0002-0000-0000-000000000000}">
      <formula1>0</formula1>
      <formula2>J9</formula2>
    </dataValidation>
    <dataValidation type="decimal" allowBlank="1" showErrorMessage="1" errorTitle="Attention:" error="1.Please input value not less than zero and up to two decimal point._x000a_2.The amount should not be less than monthly non-taxable income." promptTitle="Gross monthly income:" prompt="The amount should include non-taxable income (please input value not less than zero and up to two decimal point)." sqref="J9" xr:uid="{00000000-0002-0000-0000-000001000000}">
      <formula1>J10</formula1>
      <formula2>999999999999</formula2>
    </dataValidation>
    <dataValidation operator="greaterThanOrEqual" allowBlank="1" promptTitle="Calculation year:" prompt="Please insert the “calculation year” in the page of “Monthly calculation”" sqref="J5" xr:uid="{00000000-0002-0000-0000-000002000000}"/>
  </dataValidations>
  <hyperlinks>
    <hyperlink ref="B29" r:id="rId2" display="有關房屋稅之詳細資料，請瀏覽財政局網 http://www.dsf.gov.mo" xr:uid="{00000000-0004-0000-0000-000000000000}"/>
  </hyperlinks>
  <printOptions horizontalCentered="1" verticalCentered="1"/>
  <pageMargins left="0.74803149606299213" right="0.74803149606299213" top="0.98425196850393704" bottom="0.98425196850393704" header="0.51181102362204722" footer="0.51181102362204722"/>
  <pageSetup paperSize="9" orientation="landscape" cellComments="asDisplayed" r:id="rId3"/>
  <headerFooter alignWithMargins="0"/>
  <drawing r:id="rId4"/>
  <legacyDrawing r:id="rId5"/>
  <picture r:id="rId6"/>
  <mc:AlternateContent xmlns:mc="http://schemas.openxmlformats.org/markup-compatibility/2006">
    <mc:Choice Requires="x14">
      <controls>
        <mc:AlternateContent xmlns:mc="http://schemas.openxmlformats.org/markup-compatibility/2006">
          <mc:Choice Requires="x14">
            <control shapeId="1061" r:id="rId7" name="Option Button 37">
              <controlPr defaultSize="0" autoFill="0" autoLine="0" autoPict="0">
                <anchor moveWithCells="1">
                  <from>
                    <xdr:col>1</xdr:col>
                    <xdr:colOff>38100</xdr:colOff>
                    <xdr:row>5</xdr:row>
                    <xdr:rowOff>57150</xdr:rowOff>
                  </from>
                  <to>
                    <xdr:col>2</xdr:col>
                    <xdr:colOff>95250</xdr:colOff>
                    <xdr:row>5</xdr:row>
                    <xdr:rowOff>238125</xdr:rowOff>
                  </to>
                </anchor>
              </controlPr>
            </control>
          </mc:Choice>
        </mc:AlternateContent>
        <mc:AlternateContent xmlns:mc="http://schemas.openxmlformats.org/markup-compatibility/2006">
          <mc:Choice Requires="x14">
            <control shapeId="1062" r:id="rId8" name="Option Button 38">
              <controlPr defaultSize="0" autoFill="0" autoLine="0" autoPict="0">
                <anchor moveWithCells="1">
                  <from>
                    <xdr:col>1</xdr:col>
                    <xdr:colOff>38100</xdr:colOff>
                    <xdr:row>6</xdr:row>
                    <xdr:rowOff>161925</xdr:rowOff>
                  </from>
                  <to>
                    <xdr:col>2</xdr:col>
                    <xdr:colOff>76200</xdr:colOff>
                    <xdr:row>6</xdr:row>
                    <xdr:rowOff>371475</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1</xdr:col>
                    <xdr:colOff>38100</xdr:colOff>
                    <xdr:row>7</xdr:row>
                    <xdr:rowOff>28575</xdr:rowOff>
                  </from>
                  <to>
                    <xdr:col>2</xdr:col>
                    <xdr:colOff>85725</xdr:colOff>
                    <xdr:row>7</xdr:row>
                    <xdr:rowOff>209550</xdr:rowOff>
                  </to>
                </anchor>
              </controlPr>
            </control>
          </mc:Choice>
        </mc:AlternateContent>
        <mc:AlternateContent xmlns:mc="http://schemas.openxmlformats.org/markup-compatibility/2006">
          <mc:Choice Requires="x14">
            <control shapeId="1064" r:id="rId10" name="Group Box 40">
              <controlPr defaultSize="0" autoFill="0" autoPict="0" altText="">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1065" r:id="rId11" name="Option Button 41">
              <controlPr defaultSize="0" autoFill="0" autoLine="0" autoPict="0">
                <anchor moveWithCells="1">
                  <from>
                    <xdr:col>9</xdr:col>
                    <xdr:colOff>95250</xdr:colOff>
                    <xdr:row>3</xdr:row>
                    <xdr:rowOff>228600</xdr:rowOff>
                  </from>
                  <to>
                    <xdr:col>9</xdr:col>
                    <xdr:colOff>590550</xdr:colOff>
                    <xdr:row>3</xdr:row>
                    <xdr:rowOff>466725</xdr:rowOff>
                  </to>
                </anchor>
              </controlPr>
            </control>
          </mc:Choice>
        </mc:AlternateContent>
        <mc:AlternateContent xmlns:mc="http://schemas.openxmlformats.org/markup-compatibility/2006">
          <mc:Choice Requires="x14">
            <control shapeId="1067" r:id="rId12" name="Option Button 43">
              <controlPr locked="0" defaultSize="0" autoFill="0" autoLine="0" autoPict="0">
                <anchor moveWithCells="1">
                  <from>
                    <xdr:col>9</xdr:col>
                    <xdr:colOff>914400</xdr:colOff>
                    <xdr:row>3</xdr:row>
                    <xdr:rowOff>228600</xdr:rowOff>
                  </from>
                  <to>
                    <xdr:col>9</xdr:col>
                    <xdr:colOff>1390650</xdr:colOff>
                    <xdr:row>3</xdr:row>
                    <xdr:rowOff>466725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6" yWindow="258" count="1">
        <x14:dataValidation type="date" allowBlank="1" showInputMessage="1" showErrorMessage="1" errorTitle="1. Date of birth incorrect :" error="- should be shown in the form of yyyy/mm/dd_x000a_- should indicate the calculation year in which the applicant just reached the age of 65_x000a_" promptTitle="Indicate the date of birth :" prompt="Please indicate the date of birth of the person who reaches the age of 65 in the calculation year (must be shown in the form of : yyyy/mm/dd)" xr:uid="{00000000-0002-0000-0000-000003000000}">
          <x14:formula1>
            <xm:f>'    Annual    '!M27</xm:f>
          </x14:formula1>
          <x14:formula2>
            <xm:f>'    Annual    '!M28</xm:f>
          </x14:formula2>
          <xm:sqref>J7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theme="4" tint="0.39997558519241921"/>
    <pageSetUpPr fitToPage="1"/>
  </sheetPr>
  <dimension ref="A1:M49"/>
  <sheetViews>
    <sheetView showGridLines="0" showRowColHeaders="0" workbookViewId="0">
      <selection activeCell="J8" sqref="J8"/>
    </sheetView>
  </sheetViews>
  <sheetFormatPr defaultColWidth="0" defaultRowHeight="0" customHeight="1" zeroHeight="1" x14ac:dyDescent="0.25"/>
  <cols>
    <col min="1" max="1" width="0.875" style="1" customWidth="1"/>
    <col min="2" max="2" width="2.75" style="1" customWidth="1"/>
    <col min="3" max="3" width="3.625" style="1" customWidth="1"/>
    <col min="4" max="5" width="18.375" style="1" customWidth="1"/>
    <col min="6" max="6" width="9.125" style="1" customWidth="1"/>
    <col min="7" max="9" width="15.625" style="1" customWidth="1"/>
    <col min="10" max="10" width="19.75" style="1" customWidth="1"/>
    <col min="11" max="11" width="1.75" style="1" customWidth="1"/>
    <col min="12" max="12" width="9.125" style="1" hidden="1" customWidth="1"/>
    <col min="13" max="16384" width="9" style="1" hidden="1"/>
  </cols>
  <sheetData>
    <row r="1" spans="2:13" ht="25.5" x14ac:dyDescent="0.4">
      <c r="B1" s="25" t="str">
        <f>IF(J4=""," Quarterly Salaries Tax Calculation",J4&amp;" Quarterly Salaries Tax Calculation")</f>
        <v>2026 Quarterly Salaries Tax Calculation</v>
      </c>
      <c r="C1" s="2"/>
      <c r="D1" s="2"/>
      <c r="E1" s="2"/>
      <c r="F1" s="2"/>
      <c r="G1" s="2"/>
      <c r="H1" s="2"/>
      <c r="I1" s="2"/>
      <c r="J1" s="2"/>
      <c r="K1" s="3"/>
      <c r="L1" s="3"/>
    </row>
    <row r="2" spans="2:13" s="10" customFormat="1" ht="22.5" customHeight="1" x14ac:dyDescent="0.25">
      <c r="B2" s="121" t="str">
        <f>L9</f>
        <v>(Selected – Under the age of 65)</v>
      </c>
      <c r="C2" s="121"/>
      <c r="D2" s="121"/>
      <c r="E2" s="121"/>
      <c r="F2" s="121"/>
      <c r="G2" s="121"/>
      <c r="H2" s="121"/>
      <c r="I2" s="121"/>
      <c r="J2" s="121"/>
    </row>
    <row r="3" spans="2:13" s="5" customFormat="1" ht="22.5" customHeight="1" x14ac:dyDescent="0.25">
      <c r="B3" s="125" t="str">
        <f>L10</f>
        <v/>
      </c>
      <c r="C3" s="125"/>
      <c r="D3" s="125"/>
      <c r="E3" s="125"/>
      <c r="F3" s="125"/>
      <c r="G3" s="125"/>
      <c r="H3" s="125"/>
      <c r="I3" s="125"/>
      <c r="J3" s="125"/>
    </row>
    <row r="4" spans="2:13" s="5" customFormat="1" ht="19.5" customHeight="1" x14ac:dyDescent="0.25">
      <c r="B4" s="23"/>
      <c r="C4" s="23"/>
      <c r="D4" s="103" t="s">
        <v>5</v>
      </c>
      <c r="E4" s="126"/>
      <c r="F4" s="126"/>
      <c r="G4" s="126"/>
      <c r="H4" s="126"/>
      <c r="I4" s="126"/>
      <c r="J4" s="48">
        <f>M4</f>
        <v>2026</v>
      </c>
      <c r="M4" s="5">
        <f>IF('    Monthly    '!J5&gt;2018,'    Monthly    '!J5,"")</f>
        <v>2026</v>
      </c>
    </row>
    <row r="5" spans="2:13" s="5" customFormat="1" ht="19.5" customHeight="1" x14ac:dyDescent="0.25">
      <c r="B5" s="49"/>
      <c r="C5" s="49"/>
      <c r="D5" s="122" t="str">
        <f>'    Annual    '!M24</f>
        <v>Under the age of 65</v>
      </c>
      <c r="E5" s="123"/>
      <c r="F5" s="123"/>
      <c r="G5" s="123"/>
      <c r="H5" s="123"/>
      <c r="I5" s="123"/>
      <c r="J5" s="124"/>
      <c r="M5" s="5" t="str">
        <f>IF('    Monthly    '!J7&gt;1900/1/1,'    Monthly    '!J7,"")</f>
        <v/>
      </c>
    </row>
    <row r="6" spans="2:13" s="5" customFormat="1" ht="39" customHeight="1" x14ac:dyDescent="0.25">
      <c r="B6" s="49"/>
      <c r="C6" s="49"/>
      <c r="D6" s="98" t="str">
        <f ca="1">'    Annual    '!N24</f>
        <v>Just reached the age of 65 in the year of 2026</v>
      </c>
      <c r="E6" s="128"/>
      <c r="F6" s="100" t="str">
        <f ca="1">'    Annual    '!N27</f>
        <v/>
      </c>
      <c r="G6" s="101"/>
      <c r="H6" s="101"/>
      <c r="I6" s="101"/>
      <c r="J6" s="50" t="str">
        <f>M5</f>
        <v/>
      </c>
    </row>
    <row r="7" spans="2:13" s="5" customFormat="1" ht="19.5" customHeight="1" x14ac:dyDescent="0.25">
      <c r="B7" s="51"/>
      <c r="C7" s="52"/>
      <c r="D7" s="102" t="str">
        <f>'    Annual    '!O24</f>
        <v>Over the age of 65 / Disabled persons</v>
      </c>
      <c r="E7" s="129"/>
      <c r="F7" s="129"/>
      <c r="G7" s="129"/>
      <c r="H7" s="129"/>
      <c r="I7" s="129"/>
      <c r="J7" s="130"/>
    </row>
    <row r="8" spans="2:13" s="11" customFormat="1" ht="19.5" customHeight="1" x14ac:dyDescent="0.25">
      <c r="B8" s="59" t="s">
        <v>6</v>
      </c>
      <c r="C8" s="127" t="s">
        <v>38</v>
      </c>
      <c r="D8" s="105"/>
      <c r="E8" s="105"/>
      <c r="F8" s="105"/>
      <c r="G8" s="105"/>
      <c r="H8" s="105"/>
      <c r="I8" s="105"/>
      <c r="J8" s="81"/>
    </row>
    <row r="9" spans="2:13" s="11" customFormat="1" ht="19.5" customHeight="1" x14ac:dyDescent="0.25">
      <c r="B9" s="72" t="s">
        <v>7</v>
      </c>
      <c r="C9" s="133" t="s">
        <v>24</v>
      </c>
      <c r="D9" s="105"/>
      <c r="E9" s="105"/>
      <c r="F9" s="105"/>
      <c r="G9" s="105"/>
      <c r="H9" s="105"/>
      <c r="I9" s="105"/>
      <c r="J9" s="82"/>
      <c r="L9" s="11" t="str">
        <f>"("&amp;'    Annual    '!O7&amp;")"</f>
        <v>(Selected – Under the age of 65)</v>
      </c>
    </row>
    <row r="10" spans="2:13" s="11" customFormat="1" ht="19.5" customHeight="1" x14ac:dyDescent="0.25">
      <c r="B10" s="61" t="s">
        <v>21</v>
      </c>
      <c r="C10" s="99" t="s">
        <v>48</v>
      </c>
      <c r="D10" s="105"/>
      <c r="E10" s="105"/>
      <c r="F10" s="105"/>
      <c r="G10" s="105"/>
      <c r="H10" s="105"/>
      <c r="I10" s="105"/>
      <c r="J10" s="34">
        <f>(J8-J9)*25%</f>
        <v>0</v>
      </c>
      <c r="L10" s="19" t="str">
        <f>'    Annual    '!N7</f>
        <v/>
      </c>
    </row>
    <row r="11" spans="2:13" s="11" customFormat="1" ht="19.5" hidden="1" customHeight="1" x14ac:dyDescent="0.25">
      <c r="B11" s="61" t="s">
        <v>11</v>
      </c>
      <c r="C11" s="62" t="s">
        <v>12</v>
      </c>
      <c r="D11" s="62"/>
      <c r="E11" s="62"/>
      <c r="F11" s="62"/>
      <c r="G11" s="62"/>
      <c r="H11" s="62"/>
      <c r="I11" s="62"/>
      <c r="J11" s="34">
        <f>SUM(J9:J10)</f>
        <v>0</v>
      </c>
    </row>
    <row r="12" spans="2:13" s="11" customFormat="1" ht="19.5" customHeight="1" x14ac:dyDescent="0.25">
      <c r="B12" s="61" t="s">
        <v>18</v>
      </c>
      <c r="C12" s="96" t="s">
        <v>39</v>
      </c>
      <c r="D12" s="105"/>
      <c r="E12" s="105"/>
      <c r="F12" s="105"/>
      <c r="G12" s="105"/>
      <c r="H12" s="105"/>
      <c r="I12" s="105"/>
      <c r="J12" s="45">
        <f>J8-J11</f>
        <v>0</v>
      </c>
    </row>
    <row r="13" spans="2:13" s="11" customFormat="1" ht="7.5" customHeight="1" x14ac:dyDescent="0.25">
      <c r="B13" s="32"/>
      <c r="C13" s="32"/>
      <c r="D13" s="32"/>
      <c r="E13" s="32"/>
      <c r="F13" s="32"/>
      <c r="G13" s="32"/>
      <c r="H13" s="32"/>
      <c r="I13" s="32"/>
      <c r="J13" s="36"/>
    </row>
    <row r="14" spans="2:13" s="11" customFormat="1" ht="31.5" x14ac:dyDescent="0.25">
      <c r="B14" s="32"/>
      <c r="C14" s="32"/>
      <c r="D14" s="80" t="s">
        <v>25</v>
      </c>
      <c r="E14" s="80" t="s">
        <v>26</v>
      </c>
      <c r="F14" s="80" t="s">
        <v>27</v>
      </c>
      <c r="G14" s="79" t="s">
        <v>28</v>
      </c>
      <c r="H14" s="79" t="s">
        <v>29</v>
      </c>
      <c r="I14" s="79" t="s">
        <v>30</v>
      </c>
      <c r="J14" s="49"/>
    </row>
    <row r="15" spans="2:13" s="11" customFormat="1" ht="16.5" x14ac:dyDescent="0.25">
      <c r="B15" s="32"/>
      <c r="C15" s="32"/>
      <c r="D15" s="37">
        <v>0</v>
      </c>
      <c r="E15" s="37">
        <f>'    Annual    '!E16/4</f>
        <v>36000</v>
      </c>
      <c r="F15" s="38">
        <v>0</v>
      </c>
      <c r="G15" s="39">
        <f>MIN(E15,J12)</f>
        <v>0</v>
      </c>
      <c r="H15" s="39">
        <f>ROUNDDOWN(G15*F15,2)</f>
        <v>0</v>
      </c>
      <c r="I15" s="39">
        <f>H15</f>
        <v>0</v>
      </c>
      <c r="J15" s="49"/>
    </row>
    <row r="16" spans="2:13" s="11" customFormat="1" ht="16.5" x14ac:dyDescent="0.25">
      <c r="B16" s="32"/>
      <c r="C16" s="32"/>
      <c r="D16" s="37">
        <f>E15+0.01</f>
        <v>36000.01</v>
      </c>
      <c r="E16" s="37">
        <f>'    Annual    '!E17/4</f>
        <v>41000</v>
      </c>
      <c r="F16" s="38">
        <v>7.0000000000000007E-2</v>
      </c>
      <c r="G16" s="39">
        <f>MIN(E16-E15,$J$12-SUM($G$15:G15))</f>
        <v>0</v>
      </c>
      <c r="H16" s="39">
        <f>IF(G16=0,0,ROUNDDOWN(G16*F16-(H15-G15*F15),2))</f>
        <v>0</v>
      </c>
      <c r="I16" s="39">
        <f t="shared" ref="I16:I21" si="0">IF(H16=0,0,I15+H16)</f>
        <v>0</v>
      </c>
      <c r="J16" s="49"/>
    </row>
    <row r="17" spans="2:11" s="11" customFormat="1" ht="16.5" x14ac:dyDescent="0.25">
      <c r="B17" s="32"/>
      <c r="C17" s="32"/>
      <c r="D17" s="37">
        <f>E16+0.01</f>
        <v>41000.01</v>
      </c>
      <c r="E17" s="37">
        <f>'    Annual    '!E18/4</f>
        <v>46000</v>
      </c>
      <c r="F17" s="38">
        <v>0.08</v>
      </c>
      <c r="G17" s="39">
        <f>MIN(E17-E16,$J$12-SUM($G$15:G16))</f>
        <v>0</v>
      </c>
      <c r="H17" s="39">
        <f>IF(G17=0,0,ROUNDDOWN(G17*F17-(SUM($H$16:H16)-G16*F16),2))</f>
        <v>0</v>
      </c>
      <c r="I17" s="39">
        <f t="shared" si="0"/>
        <v>0</v>
      </c>
      <c r="J17" s="49"/>
    </row>
    <row r="18" spans="2:11" s="11" customFormat="1" ht="16.5" x14ac:dyDescent="0.25">
      <c r="B18" s="32"/>
      <c r="C18" s="32"/>
      <c r="D18" s="37">
        <f>E17+0.01</f>
        <v>46000.01</v>
      </c>
      <c r="E18" s="37">
        <f>'    Annual    '!E19/4</f>
        <v>56000</v>
      </c>
      <c r="F18" s="38">
        <v>0.09</v>
      </c>
      <c r="G18" s="39">
        <f>MIN(E18-E17,$J$12-SUM($G$15:G17))</f>
        <v>0</v>
      </c>
      <c r="H18" s="39">
        <f>IF(G18=0,0,ROUNDDOWN(G18*F18-(SUM($H$16:H17)-G17*F17-G16*F16),2))</f>
        <v>0</v>
      </c>
      <c r="I18" s="39">
        <f t="shared" si="0"/>
        <v>0</v>
      </c>
      <c r="J18" s="49"/>
    </row>
    <row r="19" spans="2:11" s="11" customFormat="1" ht="16.5" x14ac:dyDescent="0.25">
      <c r="B19" s="32"/>
      <c r="C19" s="32"/>
      <c r="D19" s="37">
        <f>E18+0.01</f>
        <v>56000.01</v>
      </c>
      <c r="E19" s="37">
        <f>'    Annual    '!E20/4</f>
        <v>76000</v>
      </c>
      <c r="F19" s="38">
        <v>0.1</v>
      </c>
      <c r="G19" s="39">
        <f>MIN(E19-E18,$J$12-SUM($G$15:G18))</f>
        <v>0</v>
      </c>
      <c r="H19" s="39">
        <f>IF(G19=0,0,ROUNDDOWN(G19*F19-(SUM($H$16:H18)-G18*F18-G17*F17-G16*F16),2))</f>
        <v>0</v>
      </c>
      <c r="I19" s="39">
        <f t="shared" si="0"/>
        <v>0</v>
      </c>
      <c r="J19" s="49"/>
    </row>
    <row r="20" spans="2:11" s="11" customFormat="1" ht="16.5" x14ac:dyDescent="0.25">
      <c r="B20" s="32"/>
      <c r="C20" s="32"/>
      <c r="D20" s="37">
        <f>E19+0.01</f>
        <v>76000.009999999995</v>
      </c>
      <c r="E20" s="37">
        <f>'    Annual    '!E21/4</f>
        <v>106000</v>
      </c>
      <c r="F20" s="38">
        <v>0.11</v>
      </c>
      <c r="G20" s="39">
        <f>MIN(E20-E19,$J$12-SUM($G$15:G19))</f>
        <v>0</v>
      </c>
      <c r="H20" s="39">
        <f>IF(G20=0,0, ROUNDDOWN(G20*F20-(SUM($H$16:H19)-G19*F19-G18*F18-G17*F17-G16*F16),2))</f>
        <v>0</v>
      </c>
      <c r="I20" s="39">
        <f t="shared" si="0"/>
        <v>0</v>
      </c>
      <c r="J20" s="49"/>
    </row>
    <row r="21" spans="2:11" s="11" customFormat="1" ht="16.5" x14ac:dyDescent="0.25">
      <c r="B21" s="32"/>
      <c r="C21" s="32"/>
      <c r="D21" s="117" t="str">
        <f>"Above " &amp; FIXED(E20,2,FALSE)</f>
        <v>Above 106,000.00</v>
      </c>
      <c r="E21" s="131"/>
      <c r="F21" s="38">
        <v>0.12</v>
      </c>
      <c r="G21" s="39">
        <f>$J$12-SUM($G$15:G20)</f>
        <v>0</v>
      </c>
      <c r="H21" s="39">
        <f>IF(G21=0,0,ROUNDDOWN(G21*F21-(SUM($H$16:H20)-G20*F20-G19*F19-G18*F18-G17*F17-G16*F16),2))</f>
        <v>0</v>
      </c>
      <c r="I21" s="39">
        <f t="shared" si="0"/>
        <v>0</v>
      </c>
      <c r="J21" s="49"/>
    </row>
    <row r="22" spans="2:11" s="11" customFormat="1" ht="7.5" customHeight="1" x14ac:dyDescent="0.25">
      <c r="B22" s="40"/>
      <c r="C22" s="40"/>
      <c r="D22" s="54"/>
      <c r="E22" s="55"/>
      <c r="F22" s="56"/>
      <c r="G22" s="57"/>
      <c r="H22" s="58"/>
      <c r="I22" s="58"/>
      <c r="J22" s="53"/>
    </row>
    <row r="23" spans="2:11" s="11" customFormat="1" ht="19.5" customHeight="1" x14ac:dyDescent="0.25">
      <c r="B23" s="61" t="s">
        <v>15</v>
      </c>
      <c r="C23" s="96" t="s">
        <v>40</v>
      </c>
      <c r="D23" s="105"/>
      <c r="E23" s="105"/>
      <c r="F23" s="105"/>
      <c r="G23" s="105"/>
      <c r="H23" s="105"/>
      <c r="I23" s="105"/>
      <c r="J23" s="45">
        <f>ROUNDDOWN(MAX(I15:I21),2)</f>
        <v>0</v>
      </c>
    </row>
    <row r="24" spans="2:11" s="11" customFormat="1" ht="39" customHeight="1" thickBot="1" x14ac:dyDescent="0.3">
      <c r="B24" s="65" t="s">
        <v>19</v>
      </c>
      <c r="C24" s="115" t="s">
        <v>41</v>
      </c>
      <c r="D24" s="132"/>
      <c r="E24" s="132"/>
      <c r="F24" s="132"/>
      <c r="G24" s="132"/>
      <c r="H24" s="132"/>
      <c r="I24" s="132"/>
      <c r="J24" s="46">
        <f>ROUNDDOWN(J23*30%,2)</f>
        <v>0</v>
      </c>
    </row>
    <row r="25" spans="2:11" s="11" customFormat="1" ht="19.5" customHeight="1" thickBot="1" x14ac:dyDescent="0.3">
      <c r="B25" s="66" t="s">
        <v>20</v>
      </c>
      <c r="C25" s="119" t="s">
        <v>42</v>
      </c>
      <c r="D25" s="120"/>
      <c r="E25" s="120"/>
      <c r="F25" s="120"/>
      <c r="G25" s="120"/>
      <c r="H25" s="120"/>
      <c r="I25" s="120"/>
      <c r="J25" s="47">
        <f>ROUNDUP(J23-J24,0)</f>
        <v>0</v>
      </c>
    </row>
    <row r="26" spans="2:11" s="75" customFormat="1" ht="16.5" thickTop="1" x14ac:dyDescent="0.25">
      <c r="B26" s="63" t="s">
        <v>3</v>
      </c>
      <c r="C26" s="93" t="s">
        <v>35</v>
      </c>
      <c r="D26" s="93"/>
      <c r="E26" s="93"/>
      <c r="F26" s="93"/>
      <c r="G26" s="93"/>
      <c r="H26" s="93"/>
      <c r="I26" s="93"/>
      <c r="J26" s="93"/>
    </row>
    <row r="27" spans="2:11" s="75" customFormat="1" ht="16.5" thickBot="1" x14ac:dyDescent="0.3">
      <c r="B27" s="64" t="s">
        <v>4</v>
      </c>
      <c r="C27" s="94" t="s">
        <v>36</v>
      </c>
      <c r="D27" s="94"/>
      <c r="E27" s="94"/>
      <c r="F27" s="94"/>
      <c r="G27" s="94"/>
      <c r="H27" s="94"/>
      <c r="I27" s="94"/>
      <c r="J27" s="94"/>
    </row>
    <row r="28" spans="2:11" s="11" customFormat="1" ht="15.75" x14ac:dyDescent="0.25">
      <c r="B28" s="111" t="s">
        <v>37</v>
      </c>
      <c r="C28" s="112"/>
      <c r="D28" s="112"/>
      <c r="E28" s="112"/>
      <c r="F28" s="112"/>
      <c r="G28" s="112"/>
      <c r="H28" s="112"/>
      <c r="I28" s="112"/>
      <c r="J28" s="112"/>
    </row>
    <row r="29" spans="2:11" ht="16.5" hidden="1" x14ac:dyDescent="0.25">
      <c r="B29" s="6" t="s">
        <v>0</v>
      </c>
      <c r="C29" s="7"/>
      <c r="D29" s="7"/>
      <c r="E29" s="7"/>
      <c r="F29" s="7"/>
      <c r="G29" s="7"/>
      <c r="H29" s="7"/>
      <c r="I29" s="7"/>
      <c r="J29" s="7"/>
      <c r="K29" s="4" t="e">
        <f>#REF!-G30</f>
        <v>#REF!</v>
      </c>
    </row>
    <row r="30" spans="2:11" ht="16.5" hidden="1" x14ac:dyDescent="0.25">
      <c r="B30" s="7"/>
      <c r="C30" s="7" t="s">
        <v>2</v>
      </c>
      <c r="D30" s="7"/>
      <c r="E30" s="7"/>
      <c r="F30" s="8">
        <v>0.25</v>
      </c>
      <c r="G30" s="9" t="e">
        <f>#REF!*F30</f>
        <v>#REF!</v>
      </c>
      <c r="H30" s="7"/>
      <c r="I30" s="7"/>
      <c r="J30" s="7"/>
    </row>
    <row r="31" spans="2:11" ht="16.5" hidden="1" x14ac:dyDescent="0.25">
      <c r="B31" s="6" t="s">
        <v>1</v>
      </c>
      <c r="C31" s="7"/>
      <c r="D31" s="7"/>
      <c r="E31" s="7"/>
      <c r="F31" s="7"/>
      <c r="G31" s="7"/>
      <c r="H31" s="7"/>
      <c r="I31" s="7"/>
      <c r="J31" s="7"/>
      <c r="K31" s="4" t="e">
        <f>K29/12</f>
        <v>#REF!</v>
      </c>
    </row>
    <row r="32" spans="2:11" ht="16.5" hidden="1" x14ac:dyDescent="0.25"/>
    <row r="33" ht="16.5" hidden="1" x14ac:dyDescent="0.25"/>
    <row r="34" ht="16.5" hidden="1" x14ac:dyDescent="0.25"/>
    <row r="35" ht="16.5" hidden="1" x14ac:dyDescent="0.25"/>
    <row r="36" ht="16.5" hidden="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sheetData>
  <sheetProtection sheet="1" objects="1" scenarios="1" selectLockedCells="1"/>
  <customSheetViews>
    <customSheetView guid="{AA3E4D5E-3A47-45A8-BB43-466E3FB86B12}" showGridLines="0" showRowCol="0" fitToPage="1" hiddenRows="1" hiddenColumns="1" showRuler="0">
      <selection activeCell="J5" sqref="J5"/>
      <pageMargins left="0.74803149606299213" right="0.74803149606299213" top="0.98425196850393704" bottom="0.98425196850393704" header="0.51181102362204722" footer="0.51181102362204722"/>
      <printOptions horizontalCentered="1" verticalCentered="1"/>
      <pageSetup paperSize="9" orientation="landscape" r:id="rId1"/>
      <headerFooter alignWithMargins="0"/>
    </customSheetView>
  </customSheetViews>
  <mergeCells count="18">
    <mergeCell ref="C27:J27"/>
    <mergeCell ref="B28:J28"/>
    <mergeCell ref="D6:E6"/>
    <mergeCell ref="F6:I6"/>
    <mergeCell ref="D7:J7"/>
    <mergeCell ref="C26:J26"/>
    <mergeCell ref="C10:I10"/>
    <mergeCell ref="D21:E21"/>
    <mergeCell ref="C24:I24"/>
    <mergeCell ref="C25:I25"/>
    <mergeCell ref="C9:I9"/>
    <mergeCell ref="C12:I12"/>
    <mergeCell ref="C23:I23"/>
    <mergeCell ref="B2:J2"/>
    <mergeCell ref="D5:J5"/>
    <mergeCell ref="B3:J3"/>
    <mergeCell ref="D4:I4"/>
    <mergeCell ref="C8:I8"/>
  </mergeCells>
  <phoneticPr fontId="1" type="noConversion"/>
  <dataValidations xWindow="733" yWindow="224" count="4">
    <dataValidation type="decimal" allowBlank="1" showInputMessage="1" showErrorMessage="1" errorTitle="Atenção:" error="O valor não pode ser superior ao rendimento total." promptTitle="Quarterly non-taxable income:" prompt="The amount should be less than the gross quarterly income (please input value not less than zero and up to two decimal point)." sqref="J9" xr:uid="{00000000-0002-0000-0100-000000000000}">
      <formula1>0</formula1>
      <formula2>J8</formula2>
    </dataValidation>
    <dataValidation operator="greaterThanOrEqual" allowBlank="1" promptTitle="Calculation year:" prompt="Please insert the “calculation year” in the page of “Monthly calculation”" sqref="J4" xr:uid="{00000000-0002-0000-0100-000001000000}"/>
    <dataValidation type="decimal" allowBlank="1" showInputMessage="1" showErrorMessage="1" errorTitle="Attention:" error="1.Please input value not less than zero and up to two decimal point._x000a_2.The amount should not be less than quarterly non-taxable income." promptTitle="Gross quarterly income:" prompt="The amount should include non-taxable income (please input value not less than zero and up to two decimal point)." sqref="J8" xr:uid="{00000000-0002-0000-0100-000002000000}">
      <formula1>J9</formula1>
      <formula2>999999999999</formula2>
    </dataValidation>
    <dataValidation allowBlank="1" showInputMessage="1" showErrorMessage="1" promptTitle="Indicate the date of birth :" prompt="Please insert the “Date of birth” in the page of “Monthly calculation”" sqref="J6" xr:uid="{00000000-0002-0000-0100-000003000000}"/>
  </dataValidations>
  <hyperlinks>
    <hyperlink ref="B28" r:id="rId2" display="有關房屋稅之詳細資料，請瀏覽財政局網 http://www.dsf.gov.mo" xr:uid="{00000000-0004-0000-0100-000000000000}"/>
  </hyperlinks>
  <printOptions horizontalCentered="1" verticalCentered="1"/>
  <pageMargins left="0.74803149606299213" right="0.74803149606299213" top="0.98425196850393704" bottom="0.98425196850393704" header="0.51181102362204722" footer="0.51181102362204722"/>
  <pageSetup paperSize="9" orientation="landscape" cellComments="asDisplayed" r:id="rId3"/>
  <headerFooter alignWithMargins="0"/>
  <drawing r:id="rId4"/>
  <legacyDrawing r:id="rId5"/>
  <picture r:id="rId6"/>
  <mc:AlternateContent xmlns:mc="http://schemas.openxmlformats.org/markup-compatibility/2006">
    <mc:Choice Requires="x14">
      <controls>
        <mc:AlternateContent xmlns:mc="http://schemas.openxmlformats.org/markup-compatibility/2006">
          <mc:Choice Requires="x14">
            <control shapeId="2082" r:id="rId7" name="Option Button 34">
              <controlPr defaultSize="0" autoFill="0" autoLine="0" autoPict="0">
                <anchor moveWithCells="1">
                  <from>
                    <xdr:col>1</xdr:col>
                    <xdr:colOff>38100</xdr:colOff>
                    <xdr:row>4</xdr:row>
                    <xdr:rowOff>47625</xdr:rowOff>
                  </from>
                  <to>
                    <xdr:col>2</xdr:col>
                    <xdr:colOff>95250</xdr:colOff>
                    <xdr:row>4</xdr:row>
                    <xdr:rowOff>228600</xdr:rowOff>
                  </to>
                </anchor>
              </controlPr>
            </control>
          </mc:Choice>
        </mc:AlternateContent>
        <mc:AlternateContent xmlns:mc="http://schemas.openxmlformats.org/markup-compatibility/2006">
          <mc:Choice Requires="x14">
            <control shapeId="2083" r:id="rId8" name="Option Button 35">
              <controlPr defaultSize="0" autoFill="0" autoLine="0" autoPict="0">
                <anchor moveWithCells="1">
                  <from>
                    <xdr:col>1</xdr:col>
                    <xdr:colOff>38100</xdr:colOff>
                    <xdr:row>5</xdr:row>
                    <xdr:rowOff>152400</xdr:rowOff>
                  </from>
                  <to>
                    <xdr:col>2</xdr:col>
                    <xdr:colOff>76200</xdr:colOff>
                    <xdr:row>5</xdr:row>
                    <xdr:rowOff>361950</xdr:rowOff>
                  </to>
                </anchor>
              </controlPr>
            </control>
          </mc:Choice>
        </mc:AlternateContent>
        <mc:AlternateContent xmlns:mc="http://schemas.openxmlformats.org/markup-compatibility/2006">
          <mc:Choice Requires="x14">
            <control shapeId="2084" r:id="rId9" name="Option Button 36">
              <controlPr defaultSize="0" autoFill="0" autoLine="0" autoPict="0">
                <anchor moveWithCells="1">
                  <from>
                    <xdr:col>1</xdr:col>
                    <xdr:colOff>38100</xdr:colOff>
                    <xdr:row>6</xdr:row>
                    <xdr:rowOff>28575</xdr:rowOff>
                  </from>
                  <to>
                    <xdr:col>2</xdr:col>
                    <xdr:colOff>85725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39997558519241921"/>
    <pageSetUpPr fitToPage="1"/>
  </sheetPr>
  <dimension ref="A1:IN32"/>
  <sheetViews>
    <sheetView showGridLines="0" showRowColHeaders="0" zoomScaleNormal="100" workbookViewId="0">
      <selection activeCell="J9" sqref="J9"/>
    </sheetView>
  </sheetViews>
  <sheetFormatPr defaultColWidth="0" defaultRowHeight="16.5" zeroHeight="1" x14ac:dyDescent="0.25"/>
  <cols>
    <col min="1" max="1" width="0.875" style="1" customWidth="1"/>
    <col min="2" max="2" width="2.75" style="1" customWidth="1"/>
    <col min="3" max="3" width="3.625" style="1" customWidth="1"/>
    <col min="4" max="5" width="18.375" style="1" customWidth="1"/>
    <col min="6" max="6" width="9.125" style="1" customWidth="1"/>
    <col min="7" max="9" width="15.625" style="1" customWidth="1"/>
    <col min="10" max="10" width="19.75" style="1" customWidth="1"/>
    <col min="11" max="11" width="1.75" style="1" customWidth="1"/>
    <col min="12" max="14" width="11" style="1" hidden="1" customWidth="1"/>
    <col min="15" max="15" width="15.5" style="1" hidden="1" customWidth="1"/>
    <col min="16" max="16" width="26.25" style="1" hidden="1" customWidth="1"/>
    <col min="17" max="16384" width="11" style="1" hidden="1"/>
  </cols>
  <sheetData>
    <row r="1" spans="2:248" ht="25.5" x14ac:dyDescent="0.4">
      <c r="B1" s="25" t="str">
        <f>IF(J5="","  Annual Salaries Tax Calculation",J5&amp;"  Annual Salaries Tax Calculation")</f>
        <v>2026  Annual Salaries Tax Calculation</v>
      </c>
      <c r="C1" s="2"/>
      <c r="D1" s="2"/>
      <c r="E1" s="2"/>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row>
    <row r="2" spans="2:248" s="5" customFormat="1" ht="22.5" customHeight="1" x14ac:dyDescent="0.25">
      <c r="B2" s="140" t="str">
        <f>"("&amp;O7&amp;")"</f>
        <v>(Selected – Under the age of 65)</v>
      </c>
      <c r="C2" s="140"/>
      <c r="D2" s="140"/>
      <c r="E2" s="140"/>
      <c r="F2" s="140"/>
      <c r="G2" s="140"/>
      <c r="H2" s="140"/>
      <c r="I2" s="140"/>
      <c r="J2" s="140"/>
    </row>
    <row r="3" spans="2:248" s="5" customFormat="1" ht="22.5" customHeight="1" x14ac:dyDescent="0.25">
      <c r="B3" s="136" t="str">
        <f>N7</f>
        <v/>
      </c>
      <c r="C3" s="136"/>
      <c r="D3" s="136"/>
      <c r="E3" s="136"/>
      <c r="F3" s="136"/>
      <c r="G3" s="136"/>
      <c r="H3" s="136"/>
      <c r="I3" s="136"/>
      <c r="J3" s="136"/>
      <c r="M3" s="5">
        <v>144000</v>
      </c>
      <c r="N3" s="5">
        <v>198000</v>
      </c>
      <c r="O3" s="5">
        <f>M3*2</f>
        <v>288000</v>
      </c>
      <c r="P3" s="5">
        <f>N3*2</f>
        <v>396000</v>
      </c>
    </row>
    <row r="4" spans="2:248" s="5" customFormat="1" ht="51" customHeight="1" x14ac:dyDescent="0.25">
      <c r="B4" s="86"/>
      <c r="C4" s="86"/>
      <c r="D4" s="108" t="s">
        <v>50</v>
      </c>
      <c r="E4" s="109"/>
      <c r="F4" s="109"/>
      <c r="G4" s="109"/>
      <c r="H4" s="109"/>
      <c r="I4" s="110"/>
      <c r="J4" s="88"/>
      <c r="L4" s="89">
        <v>2</v>
      </c>
    </row>
    <row r="5" spans="2:248" s="5" customFormat="1" ht="20.25" customHeight="1" x14ac:dyDescent="0.25">
      <c r="B5" s="26"/>
      <c r="C5" s="26"/>
      <c r="D5" s="103" t="s">
        <v>53</v>
      </c>
      <c r="E5" s="104"/>
      <c r="F5" s="104"/>
      <c r="G5" s="104"/>
      <c r="H5" s="104"/>
      <c r="I5" s="104"/>
      <c r="J5" s="48">
        <f>M5</f>
        <v>2026</v>
      </c>
      <c r="M5" s="5">
        <f>IF('    Monthly    '!J5&gt;2018,'    Monthly    '!J5,"")</f>
        <v>2026</v>
      </c>
    </row>
    <row r="6" spans="2:248" s="5" customFormat="1" ht="20.25" customHeight="1" x14ac:dyDescent="0.25">
      <c r="B6" s="32"/>
      <c r="C6" s="32"/>
      <c r="D6" s="95" t="str">
        <f>M24</f>
        <v>Under the age of 65</v>
      </c>
      <c r="E6" s="96"/>
      <c r="F6" s="96"/>
      <c r="G6" s="96"/>
      <c r="H6" s="96"/>
      <c r="I6" s="96"/>
      <c r="J6" s="97"/>
      <c r="M6" s="5" t="str">
        <f>IF('    Monthly    '!J7&gt;1900/1/1,'    Monthly    '!J7,"")</f>
        <v/>
      </c>
    </row>
    <row r="7" spans="2:248" s="5" customFormat="1" ht="39" customHeight="1" x14ac:dyDescent="0.25">
      <c r="B7" s="32"/>
      <c r="C7" s="32"/>
      <c r="D7" s="98" t="str">
        <f ca="1">N24</f>
        <v>Just reached the age of 65 in the year of 2026</v>
      </c>
      <c r="E7" s="99"/>
      <c r="F7" s="100" t="str">
        <f ca="1">N27</f>
        <v/>
      </c>
      <c r="G7" s="101"/>
      <c r="H7" s="101"/>
      <c r="I7" s="101"/>
      <c r="J7" s="50" t="str">
        <f>M6</f>
        <v/>
      </c>
      <c r="M7" s="5">
        <f>IF(AND(L9=2,J7=""),1,IF(AND(L9=2,J7&lt;&gt;""),0,IF(OR(L9=1,L9=3),3,4)))</f>
        <v>3</v>
      </c>
      <c r="N7" s="15" t="str">
        <f>IF('    Annual    '!M7=1,"Date of birth not indicated, the tax can only be calculated with the rate applicable to the persons under the age of 65.",IF(AND('    Annual    '!M7=0,'    Annual    '!M13&lt;65),"Did not reach the age of 65 in the calculation year, the tax can only be calculated with the rate applicable to the persons under the age of 65",IF(AND('    Annual    '!M7=0,'    Annual    '!M13&gt;65),"Just reached the age of 65 in the calculation year, the tax can be calculated with the rate applicable to the persons over 65 years.","")))</f>
        <v/>
      </c>
      <c r="O7" s="5" t="str">
        <f>IF('    Annual    '!L9=1,"Selected – Under the age of 65",IF(AND('    Annual    '!L9=2,'    Annual    '!M7=0),"Selected –Just reached the age of 65 in the year of "&amp;M15&amp;", the date of birth is "&amp;'    Annual    '!M19&amp;"/"&amp;'    Annual    '!N19&amp;"/"&amp;'    Annual    '!O19,IF(AND('    Annual    '!L9=2,'    Annual    '!M7=1),"Selected –Just reached the age of 65 in the year of "&amp;M15&amp;" , but did not indicate the date of birth!",IF('    Annual    '!L9=3,"Selected – Over the age of 65 / Disabled persons"))))</f>
        <v>Selected – Under the age of 65</v>
      </c>
    </row>
    <row r="8" spans="2:248" s="5" customFormat="1" ht="20.25" customHeight="1" x14ac:dyDescent="0.25">
      <c r="B8" s="71"/>
      <c r="C8" s="30"/>
      <c r="D8" s="102" t="str">
        <f>O24</f>
        <v>Over the age of 65 / Disabled persons</v>
      </c>
      <c r="E8" s="96"/>
      <c r="F8" s="96"/>
      <c r="G8" s="96"/>
      <c r="H8" s="96"/>
      <c r="I8" s="96"/>
      <c r="J8" s="97"/>
      <c r="N8" s="15"/>
    </row>
    <row r="9" spans="2:248" s="11" customFormat="1" ht="20.25" customHeight="1" x14ac:dyDescent="0.25">
      <c r="B9" s="59" t="s">
        <v>6</v>
      </c>
      <c r="C9" s="106" t="s">
        <v>52</v>
      </c>
      <c r="D9" s="107"/>
      <c r="E9" s="107"/>
      <c r="F9" s="107"/>
      <c r="G9" s="107"/>
      <c r="H9" s="107"/>
      <c r="I9" s="107"/>
      <c r="J9" s="83"/>
      <c r="L9" s="20">
        <v>1</v>
      </c>
      <c r="M9" s="11">
        <f>IF($L$9=1,M3,IF(AND($M$7=0,$M$13=65),N3-(M21*(1-$O$18)),IF(AND($M$7=0,$M$13&lt;65),M3,IF(AND($M$7=0,$M$13&gt;65),N3,IF($M$7=1,M3,IF($L$9=3,N3,0))))))</f>
        <v>144000</v>
      </c>
      <c r="N9" s="11">
        <f>IF($L$9=1,O3,IF(AND($M$7=0,$M$13=65),P3-(N21*(1-$O$18)),IF(AND($M$7=0,$M$13&lt;65),O3,IF(AND($M$7=0,$M$13&gt;65),P3,IF($M$7=1,O3,IF($L$9=3,P3,0))))))</f>
        <v>288000</v>
      </c>
    </row>
    <row r="10" spans="2:248" s="11" customFormat="1" ht="20.25" customHeight="1" x14ac:dyDescent="0.25">
      <c r="B10" s="72" t="s">
        <v>7</v>
      </c>
      <c r="C10" s="137" t="s">
        <v>24</v>
      </c>
      <c r="D10" s="107"/>
      <c r="E10" s="107"/>
      <c r="F10" s="107"/>
      <c r="G10" s="107"/>
      <c r="H10" s="107"/>
      <c r="I10" s="107"/>
      <c r="J10" s="84"/>
    </row>
    <row r="11" spans="2:248" s="11" customFormat="1" ht="19.5" customHeight="1" x14ac:dyDescent="0.25">
      <c r="B11" s="61" t="s">
        <v>8</v>
      </c>
      <c r="C11" s="99" t="s">
        <v>49</v>
      </c>
      <c r="D11" s="105"/>
      <c r="E11" s="105"/>
      <c r="F11" s="105"/>
      <c r="G11" s="105"/>
      <c r="H11" s="105"/>
      <c r="I11" s="105"/>
      <c r="J11" s="67">
        <f>(J9-J10)*25%</f>
        <v>0</v>
      </c>
      <c r="K11" s="87"/>
      <c r="N11" s="14">
        <f ca="1">IF(J5="",DATE(YEAR(TODAY()),12,31),DATE(J5,12,31))</f>
        <v>46387</v>
      </c>
    </row>
    <row r="12" spans="2:248" s="11" customFormat="1" ht="19.5" hidden="1" customHeight="1" x14ac:dyDescent="0.25">
      <c r="B12" s="61" t="s">
        <v>11</v>
      </c>
      <c r="C12" s="62" t="s">
        <v>13</v>
      </c>
      <c r="D12" s="62"/>
      <c r="E12" s="62"/>
      <c r="F12" s="62"/>
      <c r="G12" s="62"/>
      <c r="H12" s="62"/>
      <c r="I12" s="62"/>
      <c r="J12" s="67">
        <f>SUM(J10:J11)</f>
        <v>0</v>
      </c>
      <c r="N12" s="14"/>
    </row>
    <row r="13" spans="2:248" s="11" customFormat="1" ht="19.5" customHeight="1" x14ac:dyDescent="0.25">
      <c r="B13" s="61" t="s">
        <v>14</v>
      </c>
      <c r="C13" s="96" t="s">
        <v>43</v>
      </c>
      <c r="D13" s="105"/>
      <c r="E13" s="105"/>
      <c r="F13" s="105"/>
      <c r="G13" s="105"/>
      <c r="H13" s="105"/>
      <c r="I13" s="105"/>
      <c r="J13" s="68">
        <f>J9-J10-J11</f>
        <v>0</v>
      </c>
      <c r="M13" s="11">
        <f>IF(J7="",0,DATEDIF(J7,N11,"Y"))</f>
        <v>0</v>
      </c>
    </row>
    <row r="14" spans="2:248" s="11" customFormat="1" ht="7.5" customHeight="1" x14ac:dyDescent="0.25">
      <c r="B14" s="32"/>
      <c r="C14" s="32"/>
      <c r="D14" s="32"/>
      <c r="E14" s="32"/>
      <c r="F14" s="32"/>
      <c r="G14" s="32"/>
      <c r="H14" s="32"/>
      <c r="I14" s="32"/>
      <c r="J14" s="69"/>
      <c r="V14" s="16"/>
    </row>
    <row r="15" spans="2:248" s="11" customFormat="1" ht="31.5" x14ac:dyDescent="0.25">
      <c r="B15" s="32"/>
      <c r="C15" s="32"/>
      <c r="D15" s="80" t="s">
        <v>25</v>
      </c>
      <c r="E15" s="80" t="s">
        <v>26</v>
      </c>
      <c r="F15" s="80" t="s">
        <v>27</v>
      </c>
      <c r="G15" s="79" t="s">
        <v>28</v>
      </c>
      <c r="H15" s="79" t="s">
        <v>29</v>
      </c>
      <c r="I15" s="79" t="s">
        <v>30</v>
      </c>
      <c r="J15" s="32"/>
      <c r="M15" s="16">
        <f ca="1">IF(J5="",YEAR(TODAY()),J5)</f>
        <v>2026</v>
      </c>
      <c r="N15" s="11">
        <v>1</v>
      </c>
      <c r="O15" s="11">
        <v>1</v>
      </c>
      <c r="V15" s="16"/>
    </row>
    <row r="16" spans="2:248" s="11" customFormat="1" ht="16.5" customHeight="1" x14ac:dyDescent="0.25">
      <c r="B16" s="32"/>
      <c r="C16" s="32"/>
      <c r="D16" s="37">
        <v>0</v>
      </c>
      <c r="E16" s="37">
        <f>IF(L4=1,N9,M9)</f>
        <v>144000</v>
      </c>
      <c r="F16" s="38">
        <v>0</v>
      </c>
      <c r="G16" s="39">
        <f>MIN(E16,J13)</f>
        <v>0</v>
      </c>
      <c r="H16" s="39">
        <f>ROUNDDOWN(G16*F16,2)</f>
        <v>0</v>
      </c>
      <c r="I16" s="39">
        <f>H16</f>
        <v>0</v>
      </c>
      <c r="J16" s="32"/>
      <c r="M16" s="16"/>
      <c r="V16" s="16"/>
    </row>
    <row r="17" spans="2:22" s="11" customFormat="1" ht="16.5" customHeight="1" x14ac:dyDescent="0.25">
      <c r="B17" s="32"/>
      <c r="C17" s="32"/>
      <c r="D17" s="37">
        <f>E16+0.01</f>
        <v>144000.01</v>
      </c>
      <c r="E17" s="37">
        <f>E16+20000</f>
        <v>164000</v>
      </c>
      <c r="F17" s="38">
        <v>7.0000000000000007E-2</v>
      </c>
      <c r="G17" s="39">
        <f>MIN(E17-E16,$J$13-SUM($G$16:G16))</f>
        <v>0</v>
      </c>
      <c r="H17" s="39">
        <f>IF(G17=0,0,ROUNDDOWN(G17*F17-(H16-G16*F16),2))</f>
        <v>0</v>
      </c>
      <c r="I17" s="39">
        <f t="shared" ref="I17:I22" si="0">IF(H17=0,0,I16+H17)</f>
        <v>0</v>
      </c>
      <c r="J17" s="32"/>
      <c r="M17" s="16">
        <f ca="1">IF(J5="",YEAR(TODAY()),J5)</f>
        <v>2026</v>
      </c>
      <c r="N17" s="11">
        <v>12</v>
      </c>
      <c r="O17" s="11">
        <v>31</v>
      </c>
    </row>
    <row r="18" spans="2:22" s="11" customFormat="1" ht="16.5" customHeight="1" x14ac:dyDescent="0.25">
      <c r="B18" s="32"/>
      <c r="C18" s="32"/>
      <c r="D18" s="37">
        <f>E17+0.01</f>
        <v>164000.01</v>
      </c>
      <c r="E18" s="37">
        <f>E17+20000</f>
        <v>184000</v>
      </c>
      <c r="F18" s="38">
        <v>0.08</v>
      </c>
      <c r="G18" s="39">
        <f>MIN(E18-E17,$J$13-SUM($G$16:G17))</f>
        <v>0</v>
      </c>
      <c r="H18" s="39">
        <f>IF(G18=0,0,ROUNDDOWN(G18*F18-(SUM($H$17:H17)-G17*F17),2))</f>
        <v>0</v>
      </c>
      <c r="I18" s="39">
        <f t="shared" si="0"/>
        <v>0</v>
      </c>
      <c r="J18" s="32"/>
      <c r="M18" s="11">
        <f>IF(M7=0,DATEDIF(DATE(M15,N15,O15),DATE(M20,N20,O20),"D"),0)</f>
        <v>0</v>
      </c>
      <c r="N18" s="11">
        <f ca="1">DATEDIF(DATE(M20,N20,O20),DATE(M17,N17,O17),"D")+1</f>
        <v>365</v>
      </c>
      <c r="O18" s="17">
        <f ca="1">N18/(M18+N18)</f>
        <v>1</v>
      </c>
    </row>
    <row r="19" spans="2:22" s="11" customFormat="1" ht="16.5" customHeight="1" x14ac:dyDescent="0.25">
      <c r="B19" s="32"/>
      <c r="C19" s="32"/>
      <c r="D19" s="37">
        <f>E18+0.01</f>
        <v>184000.01</v>
      </c>
      <c r="E19" s="37">
        <f>E18+40000</f>
        <v>224000</v>
      </c>
      <c r="F19" s="38">
        <v>0.09</v>
      </c>
      <c r="G19" s="39">
        <f>MIN(E19-E18,$J$13-SUM($G$16:G18))</f>
        <v>0</v>
      </c>
      <c r="H19" s="39">
        <f>IF(G19=0,0, ROUNDDOWN(G19*F19-(SUM($H$17:H18)-G18*F18-G17*F17),2))</f>
        <v>0</v>
      </c>
      <c r="I19" s="39">
        <f t="shared" si="0"/>
        <v>0</v>
      </c>
      <c r="J19" s="32"/>
      <c r="M19" s="11" t="e">
        <f>YEAR(J7)</f>
        <v>#VALUE!</v>
      </c>
      <c r="N19" s="11" t="e">
        <f>MONTH($J$7)</f>
        <v>#VALUE!</v>
      </c>
      <c r="O19" s="11" t="e">
        <f>DAY($J$7)</f>
        <v>#VALUE!</v>
      </c>
    </row>
    <row r="20" spans="2:22" s="11" customFormat="1" ht="16.5" customHeight="1" x14ac:dyDescent="0.25">
      <c r="B20" s="32"/>
      <c r="C20" s="32"/>
      <c r="D20" s="37">
        <f>E19+0.01</f>
        <v>224000.01</v>
      </c>
      <c r="E20" s="37">
        <f>+E19+80000</f>
        <v>304000</v>
      </c>
      <c r="F20" s="38">
        <v>0.1</v>
      </c>
      <c r="G20" s="39">
        <f>MIN(E20-E19,$J$13-SUM($G$16:G19))</f>
        <v>0</v>
      </c>
      <c r="H20" s="39">
        <f>IF(G20=0,0,ROUNDDOWN(G20*F20-(SUM($H$17:H19)-G19*F19-G18*F18-G17*F17),2))</f>
        <v>0</v>
      </c>
      <c r="I20" s="70">
        <f t="shared" si="0"/>
        <v>0</v>
      </c>
      <c r="J20" s="32"/>
      <c r="M20" s="11">
        <f ca="1">IF(J5="",YEAR(TODAY()),J5)</f>
        <v>2026</v>
      </c>
      <c r="N20" s="11">
        <f>IF(J7="",1,MONTH($J$7))</f>
        <v>1</v>
      </c>
      <c r="O20" s="11">
        <f>IF(J7="",1,DAY($J$7))</f>
        <v>1</v>
      </c>
    </row>
    <row r="21" spans="2:22" s="11" customFormat="1" ht="16.5" customHeight="1" x14ac:dyDescent="0.25">
      <c r="B21" s="32"/>
      <c r="C21" s="32"/>
      <c r="D21" s="37">
        <f>E20+0.01</f>
        <v>304000.01</v>
      </c>
      <c r="E21" s="37">
        <f>E20+120000</f>
        <v>424000</v>
      </c>
      <c r="F21" s="38">
        <v>0.11</v>
      </c>
      <c r="G21" s="39">
        <f>MIN(E21-E20,$J$13-SUM($G$16:G20))</f>
        <v>0</v>
      </c>
      <c r="H21" s="39">
        <f>IF(G21=0,0,ROUNDDOWN(G21*F21-(SUM($H$17:H20)-G20*F20-G19*F19-G18*F18-G17*F17),2))</f>
        <v>0</v>
      </c>
      <c r="I21" s="39">
        <f t="shared" si="0"/>
        <v>0</v>
      </c>
      <c r="J21" s="32"/>
      <c r="M21" s="11">
        <f>198000-144000</f>
        <v>54000</v>
      </c>
      <c r="N21" s="11">
        <f>396000-288000</f>
        <v>108000</v>
      </c>
    </row>
    <row r="22" spans="2:22" s="11" customFormat="1" ht="16.5" customHeight="1" x14ac:dyDescent="0.25">
      <c r="B22" s="32"/>
      <c r="C22" s="32"/>
      <c r="D22" s="117" t="str">
        <f>"Above " &amp; FIXED(E21,2,FALSE)</f>
        <v>Above 424,000.00</v>
      </c>
      <c r="E22" s="138"/>
      <c r="F22" s="38">
        <v>0.12</v>
      </c>
      <c r="G22" s="39">
        <f>$J$13-SUM($G$16:G21)</f>
        <v>0</v>
      </c>
      <c r="H22" s="39">
        <f>IF(G22=0,0, ROUNDDOWN(G22*F22-(SUM($H$17:H21)-G21*F21-G20*F20-G19*F19-G18*F18-G17*F17),2))</f>
        <v>0</v>
      </c>
      <c r="I22" s="39">
        <f t="shared" si="0"/>
        <v>0</v>
      </c>
      <c r="J22" s="32"/>
    </row>
    <row r="23" spans="2:22" s="11" customFormat="1" ht="7.5" customHeight="1" x14ac:dyDescent="0.3">
      <c r="B23" s="40"/>
      <c r="C23" s="40"/>
      <c r="D23" s="40"/>
      <c r="E23" s="41"/>
      <c r="F23" s="42"/>
      <c r="G23" s="43"/>
      <c r="H23" s="44"/>
      <c r="I23" s="44"/>
      <c r="J23" s="40"/>
      <c r="V23" s="21"/>
    </row>
    <row r="24" spans="2:22" s="11" customFormat="1" ht="19.5" customHeight="1" x14ac:dyDescent="0.3">
      <c r="B24" s="61" t="s">
        <v>15</v>
      </c>
      <c r="C24" s="96" t="s">
        <v>44</v>
      </c>
      <c r="D24" s="105"/>
      <c r="E24" s="105"/>
      <c r="F24" s="105"/>
      <c r="G24" s="105"/>
      <c r="H24" s="105"/>
      <c r="I24" s="105"/>
      <c r="J24" s="76">
        <f>ROUNDDOWN(MAX(I16:I22),2)</f>
        <v>0</v>
      </c>
      <c r="M24" s="21" t="s">
        <v>46</v>
      </c>
      <c r="N24" s="18" t="str">
        <f ca="1">IF(J5="","Just reached the age of 65 in the year of "&amp;YEAR(TODAY()),"Just reached the age of 65 in the year of "&amp;J5)</f>
        <v>Just reached the age of 65 in the year of 2026</v>
      </c>
      <c r="O24" s="134" t="s">
        <v>47</v>
      </c>
      <c r="P24" s="105"/>
      <c r="Q24" s="105"/>
      <c r="R24" s="105"/>
      <c r="S24" s="105"/>
      <c r="T24" s="105"/>
      <c r="U24" s="135"/>
    </row>
    <row r="25" spans="2:22" s="11" customFormat="1" ht="39" customHeight="1" thickBot="1" x14ac:dyDescent="0.3">
      <c r="B25" s="65" t="s">
        <v>16</v>
      </c>
      <c r="C25" s="115" t="s">
        <v>32</v>
      </c>
      <c r="D25" s="139"/>
      <c r="E25" s="139"/>
      <c r="F25" s="139"/>
      <c r="G25" s="139"/>
      <c r="H25" s="139"/>
      <c r="I25" s="139"/>
      <c r="J25" s="77">
        <f>ROUNDDOWN(J24*30%,2)</f>
        <v>0</v>
      </c>
    </row>
    <row r="26" spans="2:22" s="11" customFormat="1" ht="19.5" customHeight="1" thickBot="1" x14ac:dyDescent="0.3">
      <c r="B26" s="66" t="s">
        <v>17</v>
      </c>
      <c r="C26" s="119" t="s">
        <v>45</v>
      </c>
      <c r="D26" s="141"/>
      <c r="E26" s="141"/>
      <c r="F26" s="141"/>
      <c r="G26" s="141"/>
      <c r="H26" s="141"/>
      <c r="I26" s="141"/>
      <c r="J26" s="78">
        <f>ROUNDUP(J24-J25,0)</f>
        <v>0</v>
      </c>
      <c r="V26" s="22"/>
    </row>
    <row r="27" spans="2:22" s="11" customFormat="1" thickTop="1" x14ac:dyDescent="0.25">
      <c r="B27" s="73" t="s">
        <v>3</v>
      </c>
      <c r="C27" s="93" t="s">
        <v>35</v>
      </c>
      <c r="D27" s="93"/>
      <c r="E27" s="93"/>
      <c r="F27" s="93"/>
      <c r="G27" s="93"/>
      <c r="H27" s="93"/>
      <c r="I27" s="93"/>
      <c r="J27" s="93"/>
      <c r="M27" s="22">
        <f ca="1">IF(J5="",DATE(YEAR(TODAY())-65,1,1),DATE(J5-65,1,1))</f>
        <v>22282</v>
      </c>
      <c r="N27" s="11" t="str">
        <f ca="1">IF(L9=1,"",IF(AND(L9=2,J5=""),"Date of birth (yy/mm/dd) : (only accept birth dates in "&amp;YEAR(TODAY())-65&amp;")",IF(AND(L9=2,J5&lt;&gt;""),"Date of birth (yy/mm/dd) : (only accept birth dates in "&amp;N28&amp;")",IF(L9=3,""))))</f>
        <v/>
      </c>
      <c r="V27" s="22"/>
    </row>
    <row r="28" spans="2:22" s="11" customFormat="1" thickBot="1" x14ac:dyDescent="0.3">
      <c r="B28" s="74" t="s">
        <v>4</v>
      </c>
      <c r="C28" s="94" t="s">
        <v>36</v>
      </c>
      <c r="D28" s="94"/>
      <c r="E28" s="94"/>
      <c r="F28" s="94"/>
      <c r="G28" s="94"/>
      <c r="H28" s="94"/>
      <c r="I28" s="94"/>
      <c r="J28" s="94"/>
      <c r="M28" s="22">
        <f ca="1">IF(J5="",DATE(YEAR(TODAY())-65,12,31),DATE(J5-65,12,31))</f>
        <v>22646</v>
      </c>
      <c r="N28" s="16">
        <f ca="1">IF(J5="",YEAR(TODAY())-65,J5-65)</f>
        <v>1961</v>
      </c>
    </row>
    <row r="29" spans="2:22" s="11" customFormat="1" ht="15.75" x14ac:dyDescent="0.25">
      <c r="B29" s="111" t="s">
        <v>37</v>
      </c>
      <c r="C29" s="112"/>
      <c r="D29" s="112"/>
      <c r="E29" s="112"/>
      <c r="F29" s="112"/>
      <c r="G29" s="112"/>
      <c r="H29" s="112"/>
      <c r="I29" s="112"/>
      <c r="J29" s="112"/>
    </row>
    <row r="30" spans="2:22" hidden="1" x14ac:dyDescent="0.25">
      <c r="B30" s="6" t="s">
        <v>0</v>
      </c>
      <c r="C30" s="7"/>
      <c r="D30" s="7"/>
      <c r="E30" s="7"/>
      <c r="F30" s="7"/>
      <c r="G30" s="7"/>
      <c r="H30" s="7"/>
      <c r="I30" s="7"/>
      <c r="J30" s="7"/>
      <c r="K30" s="4" t="e">
        <f>#REF!-G31</f>
        <v>#REF!</v>
      </c>
      <c r="L30" s="11"/>
      <c r="M30" s="11"/>
      <c r="N30" s="11"/>
      <c r="O30" s="11"/>
      <c r="P30" s="11"/>
      <c r="Q30" s="11"/>
      <c r="R30" s="11"/>
      <c r="S30" s="11"/>
      <c r="T30" s="11"/>
      <c r="U30" s="11"/>
      <c r="V30" s="11"/>
    </row>
    <row r="31" spans="2:22" hidden="1" x14ac:dyDescent="0.25">
      <c r="B31" s="7"/>
      <c r="C31" s="7" t="s">
        <v>2</v>
      </c>
      <c r="D31" s="7"/>
      <c r="E31" s="7"/>
      <c r="F31" s="8">
        <v>0.25</v>
      </c>
      <c r="G31" s="9" t="e">
        <f>#REF!*F31</f>
        <v>#REF!</v>
      </c>
      <c r="H31" s="7"/>
      <c r="I31" s="7"/>
      <c r="J31" s="7"/>
      <c r="M31" s="11"/>
      <c r="N31" s="11"/>
      <c r="O31" s="11"/>
      <c r="P31" s="11"/>
      <c r="Q31" s="11"/>
      <c r="R31" s="11"/>
      <c r="S31" s="11"/>
      <c r="T31" s="11"/>
      <c r="U31" s="11"/>
      <c r="V31" s="11"/>
    </row>
    <row r="32" spans="2:22" hidden="1" x14ac:dyDescent="0.25">
      <c r="B32" s="6" t="s">
        <v>1</v>
      </c>
      <c r="C32" s="7"/>
      <c r="D32" s="7"/>
      <c r="E32" s="7"/>
      <c r="F32" s="7"/>
      <c r="G32" s="7"/>
      <c r="H32" s="7"/>
      <c r="I32" s="7"/>
      <c r="J32" s="7"/>
      <c r="K32" s="4" t="e">
        <f>K30/12</f>
        <v>#REF!</v>
      </c>
      <c r="M32" s="11"/>
      <c r="N32" s="11"/>
      <c r="O32" s="11"/>
      <c r="P32" s="11"/>
      <c r="Q32" s="11"/>
      <c r="R32" s="11"/>
      <c r="S32" s="11"/>
      <c r="T32" s="11"/>
      <c r="U32" s="11"/>
    </row>
  </sheetData>
  <sheetProtection sheet="1" selectLockedCells="1"/>
  <customSheetViews>
    <customSheetView guid="{AA3E4D5E-3A47-45A8-BB43-466E3FB86B12}" showGridLines="0" showRowCol="0" fitToPage="1" hiddenRows="1" hiddenColumns="1" showRuler="0">
      <selection activeCell="J5" sqref="J5"/>
      <pageMargins left="0.74803149606299213" right="0.74803149606299213" top="0.98425196850393704" bottom="0.98425196850393704" header="0.51181102362204722" footer="0.51181102362204722"/>
      <printOptions horizontalCentered="1" verticalCentered="1"/>
      <pageSetup paperSize="9" orientation="landscape" r:id="rId1"/>
      <headerFooter alignWithMargins="0"/>
    </customSheetView>
  </customSheetViews>
  <mergeCells count="20">
    <mergeCell ref="B29:J29"/>
    <mergeCell ref="C11:I11"/>
    <mergeCell ref="C25:I25"/>
    <mergeCell ref="C24:I24"/>
    <mergeCell ref="B2:J2"/>
    <mergeCell ref="C27:J27"/>
    <mergeCell ref="C28:J28"/>
    <mergeCell ref="C26:I26"/>
    <mergeCell ref="D4:I4"/>
    <mergeCell ref="O24:U24"/>
    <mergeCell ref="D7:E7"/>
    <mergeCell ref="B3:J3"/>
    <mergeCell ref="F7:I7"/>
    <mergeCell ref="D6:J6"/>
    <mergeCell ref="D8:J8"/>
    <mergeCell ref="D5:I5"/>
    <mergeCell ref="C9:I9"/>
    <mergeCell ref="C10:I10"/>
    <mergeCell ref="C13:I13"/>
    <mergeCell ref="D22:E22"/>
  </mergeCells>
  <phoneticPr fontId="1" type="noConversion"/>
  <dataValidations xWindow="728" yWindow="220" count="4">
    <dataValidation type="decimal" allowBlank="1" showErrorMessage="1" errorTitle="Atenção:" error="O valor não pode ser superior ao rendimento total._x000a_" promptTitle="Annual non-taxable income:" prompt="The amount should be less than the gross annual income (please input value not less than zero and up to two decimal point)." sqref="J10" xr:uid="{00000000-0002-0000-0200-000000000000}">
      <formula1>0</formula1>
      <formula2>J9</formula2>
    </dataValidation>
    <dataValidation operator="greaterThanOrEqual" allowBlank="1" promptTitle="Calculation year:" prompt="Please insert the “calculation year” in the page of “Monthly calculation”" sqref="J5" xr:uid="{00000000-0002-0000-0200-000001000000}"/>
    <dataValidation type="decimal" allowBlank="1" showErrorMessage="1" errorTitle="Attention:" error="1.Please input value not less than zero 2.The amount should not be less than annual non-taxable income." promptTitle="Gross annual income:" prompt="the amount should include non-taxable income (please input value not less than zero and up to two decimal point)." sqref="J9" xr:uid="{00000000-0002-0000-0200-000002000000}">
      <formula1>J10</formula1>
      <formula2>999999999999</formula2>
    </dataValidation>
    <dataValidation allowBlank="1" showInputMessage="1" showErrorMessage="1" promptTitle="Indicate the date of birth :" prompt="Please insert the “Date of birth” in the page of “Monthly calculation”" sqref="J7" xr:uid="{00000000-0002-0000-0200-000003000000}"/>
  </dataValidations>
  <hyperlinks>
    <hyperlink ref="B29" r:id="rId2" display="有關房屋稅之詳細資料，請瀏覽財政局網 http://www.dsf.gov.mo" xr:uid="{00000000-0004-0000-0200-000000000000}"/>
  </hyperlinks>
  <printOptions horizontalCentered="1" verticalCentered="1"/>
  <pageMargins left="0.74803149606299213" right="0.74803149606299213" top="0.98425196850393704" bottom="0.98425196850393704" header="0.51181102362204722" footer="0.51181102362204722"/>
  <pageSetup paperSize="9" orientation="landscape" cellComments="asDisplayed" r:id="rId3"/>
  <headerFooter alignWithMargins="0"/>
  <drawing r:id="rId4"/>
  <legacyDrawing r:id="rId5"/>
  <picture r:id="rId6"/>
  <mc:AlternateContent xmlns:mc="http://schemas.openxmlformats.org/markup-compatibility/2006">
    <mc:Choice Requires="x14">
      <controls>
        <mc:AlternateContent xmlns:mc="http://schemas.openxmlformats.org/markup-compatibility/2006">
          <mc:Choice Requires="x14">
            <control shapeId="3104" r:id="rId7" name="Option Button 32">
              <controlPr defaultSize="0" autoFill="0" autoLine="0" autoPict="0">
                <anchor moveWithCells="1">
                  <from>
                    <xdr:col>1</xdr:col>
                    <xdr:colOff>38100</xdr:colOff>
                    <xdr:row>5</xdr:row>
                    <xdr:rowOff>47625</xdr:rowOff>
                  </from>
                  <to>
                    <xdr:col>2</xdr:col>
                    <xdr:colOff>95250</xdr:colOff>
                    <xdr:row>5</xdr:row>
                    <xdr:rowOff>228600</xdr:rowOff>
                  </to>
                </anchor>
              </controlPr>
            </control>
          </mc:Choice>
        </mc:AlternateContent>
        <mc:AlternateContent xmlns:mc="http://schemas.openxmlformats.org/markup-compatibility/2006">
          <mc:Choice Requires="x14">
            <control shapeId="3105" r:id="rId8" name="Option Button 33">
              <controlPr defaultSize="0" autoFill="0" autoLine="0" autoPict="0">
                <anchor moveWithCells="1">
                  <from>
                    <xdr:col>1</xdr:col>
                    <xdr:colOff>38100</xdr:colOff>
                    <xdr:row>6</xdr:row>
                    <xdr:rowOff>142875</xdr:rowOff>
                  </from>
                  <to>
                    <xdr:col>2</xdr:col>
                    <xdr:colOff>76200</xdr:colOff>
                    <xdr:row>6</xdr:row>
                    <xdr:rowOff>361950</xdr:rowOff>
                  </to>
                </anchor>
              </controlPr>
            </control>
          </mc:Choice>
        </mc:AlternateContent>
        <mc:AlternateContent xmlns:mc="http://schemas.openxmlformats.org/markup-compatibility/2006">
          <mc:Choice Requires="x14">
            <control shapeId="3108" r:id="rId9" name="Option Button 36">
              <controlPr defaultSize="0" autoFill="0" autoLine="0" autoPict="0">
                <anchor moveWithCells="1">
                  <from>
                    <xdr:col>1</xdr:col>
                    <xdr:colOff>38100</xdr:colOff>
                    <xdr:row>7</xdr:row>
                    <xdr:rowOff>28575</xdr:rowOff>
                  </from>
                  <to>
                    <xdr:col>2</xdr:col>
                    <xdr:colOff>85725</xdr:colOff>
                    <xdr:row>7</xdr:row>
                    <xdr:rowOff>209550</xdr:rowOff>
                  </to>
                </anchor>
              </controlPr>
            </control>
          </mc:Choice>
        </mc:AlternateContent>
        <mc:AlternateContent xmlns:mc="http://schemas.openxmlformats.org/markup-compatibility/2006">
          <mc:Choice Requires="x14">
            <control shapeId="3109" r:id="rId10" name="Group Box 37">
              <controlPr defaultSize="0" autoFill="0" autoPict="0" altText="">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3110" r:id="rId11" name="Option Button 38">
              <controlPr defaultSize="0" autoFill="0" autoLine="0" autoPict="0">
                <anchor moveWithCells="1">
                  <from>
                    <xdr:col>9</xdr:col>
                    <xdr:colOff>95250</xdr:colOff>
                    <xdr:row>3</xdr:row>
                    <xdr:rowOff>228600</xdr:rowOff>
                  </from>
                  <to>
                    <xdr:col>9</xdr:col>
                    <xdr:colOff>590550</xdr:colOff>
                    <xdr:row>3</xdr:row>
                    <xdr:rowOff>466725</xdr:rowOff>
                  </to>
                </anchor>
              </controlPr>
            </control>
          </mc:Choice>
        </mc:AlternateContent>
        <mc:AlternateContent xmlns:mc="http://schemas.openxmlformats.org/markup-compatibility/2006">
          <mc:Choice Requires="x14">
            <control shapeId="3111" r:id="rId12" name="Option Button 39">
              <controlPr defaultSize="0" autoFill="0" autoLine="0" autoPict="0">
                <anchor moveWithCells="1">
                  <from>
                    <xdr:col>9</xdr:col>
                    <xdr:colOff>914400</xdr:colOff>
                    <xdr:row>3</xdr:row>
                    <xdr:rowOff>228600</xdr:rowOff>
                  </from>
                  <to>
                    <xdr:col>9</xdr:col>
                    <xdr:colOff>1390650</xdr:colOff>
                    <xdr:row>3</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    Monthly    </vt:lpstr>
      <vt:lpstr>    Quarterly    </vt:lpstr>
      <vt:lpstr>    Annual    </vt:lpstr>
      <vt:lpstr>主頁面</vt:lpstr>
    </vt:vector>
  </TitlesOfParts>
  <Company>財政局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職業稅預繳稅款</dc:title>
  <dc:creator>Adwin - Lou Kam Hung</dc:creator>
  <cp:keywords>職業稅, 預繳稅款</cp:keywords>
  <dc:description>版本 1.0</dc:description>
  <cp:lastModifiedBy>Adwin - Lou Kam Hung</cp:lastModifiedBy>
  <cp:lastPrinted>2006-01-17T09:01:56Z</cp:lastPrinted>
  <dcterms:created xsi:type="dcterms:W3CDTF">2003-06-10T11:14:23Z</dcterms:created>
  <dcterms:modified xsi:type="dcterms:W3CDTF">2026-02-10T07:21:08Z</dcterms:modified>
  <cp:category>職業稅</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-531569629</vt:i4>
  </property>
  <property fmtid="{D5CDD505-2E9C-101B-9397-08002B2CF9AE}" pid="3" name="_EmailSubject">
    <vt:lpwstr>Imposto profissional excel file </vt:lpwstr>
  </property>
  <property fmtid="{D5CDD505-2E9C-101B-9397-08002B2CF9AE}" pid="4" name="_AuthorEmail">
    <vt:lpwstr>ericchan@dsf.gov.mo</vt:lpwstr>
  </property>
  <property fmtid="{D5CDD505-2E9C-101B-9397-08002B2CF9AE}" pid="5" name="_AuthorEmailDisplayName">
    <vt:lpwstr>Eric, Chan Wai Pan</vt:lpwstr>
  </property>
  <property fmtid="{D5CDD505-2E9C-101B-9397-08002B2CF9AE}" pid="6" name="_PreviousAdHocReviewCycleID">
    <vt:i4>956745754</vt:i4>
  </property>
  <property fmtid="{D5CDD505-2E9C-101B-9397-08002B2CF9AE}" pid="7" name="_ReviewingToolsShownOnce">
    <vt:lpwstr/>
  </property>
</Properties>
</file>