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Y:\InetPub\dsfhome.1\download\calc\"/>
    </mc:Choice>
  </mc:AlternateContent>
  <xr:revisionPtr revIDLastSave="0" documentId="13_ncr:1_{C521C15D-5B30-47E3-9F45-C29A6DE76A05}" xr6:coauthVersionLast="47" xr6:coauthVersionMax="47" xr10:uidLastSave="{00000000-0000-0000-0000-000000000000}"/>
  <bookViews>
    <workbookView xWindow="-120" yWindow="-120" windowWidth="29040" windowHeight="15720" xr2:uid="{00000000-000D-0000-FFFF-FFFF00000000}"/>
  </bookViews>
  <sheets>
    <sheet name="    Mensal    " sheetId="4" r:id="rId1"/>
    <sheet name="    Trimestral    " sheetId="3" state="hidden" r:id="rId2"/>
    <sheet name="    Anual    " sheetId="1" r:id="rId3"/>
  </sheets>
  <definedNames>
    <definedName name="Z_AA3E4D5E_3A47_45A8_BB43_466E3FB86B12_.wvu.Cols" localSheetId="2" hidden="1">'    Anual    '!$L:$IV</definedName>
    <definedName name="Z_AA3E4D5E_3A47_45A8_BB43_466E3FB86B12_.wvu.Cols" localSheetId="0" hidden="1">'    Mensal    '!$L:$IV</definedName>
    <definedName name="Z_AA3E4D5E_3A47_45A8_BB43_466E3FB86B12_.wvu.Cols" localSheetId="1" hidden="1">'    Trimestral    '!$L:$IV</definedName>
    <definedName name="Z_AA3E4D5E_3A47_45A8_BB43_466E3FB86B12_.wvu.Rows" localSheetId="2" hidden="1">'    Anual    '!$42:$65537,'    Anual    '!$30:$39,'    Anual    '!$41:$41</definedName>
    <definedName name="Z_AA3E4D5E_3A47_45A8_BB43_466E3FB86B12_.wvu.Rows" localSheetId="0" hidden="1">'    Mensal    '!$43:$65537,'    Mensal    '!$30:$39,'    Mensal    '!$41:$42</definedName>
    <definedName name="Z_AA3E4D5E_3A47_45A8_BB43_466E3FB86B12_.wvu.Rows" localSheetId="1" hidden="1">'    Trimestral    '!$43:$65536,'    Trimestral    '!$29:$40,'    Trimestral    '!$42:$42</definedName>
    <definedName name="主頁面">'    Anual    '!$F$1</definedName>
    <definedName name="其它收入">#REF!</definedName>
  </definedNames>
  <calcPr calcId="191029"/>
  <customWorkbookViews>
    <customWorkbookView name="ericchan - 個人檢視畫面" guid="{AA3E4D5E-3A47-45A8-BB43-466E3FB86B12}" mergeInterval="0" personalView="1" maximized="1" windowWidth="1020" windowHeight="56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 i="1" l="1"/>
  <c r="N21" i="1"/>
  <c r="P3" i="1" l="1"/>
  <c r="O3" i="1"/>
  <c r="B1" i="4" l="1"/>
  <c r="J10" i="3" l="1"/>
  <c r="J11" i="1"/>
  <c r="J13" i="1" s="1"/>
  <c r="J11" i="4"/>
  <c r="J13" i="4" l="1"/>
  <c r="J12" i="4"/>
  <c r="M5" i="3"/>
  <c r="J6" i="3" s="1"/>
  <c r="M4" i="3"/>
  <c r="J4" i="3" s="1"/>
  <c r="B1" i="3" s="1"/>
  <c r="M6" i="1"/>
  <c r="J7" i="1" s="1"/>
  <c r="M5" i="1"/>
  <c r="D6" i="1"/>
  <c r="D8" i="1"/>
  <c r="J12" i="1"/>
  <c r="M21" i="1"/>
  <c r="G31" i="1"/>
  <c r="K30" i="1" s="1"/>
  <c r="K32" i="1" s="1"/>
  <c r="D5" i="3"/>
  <c r="D7" i="3"/>
  <c r="G30" i="3"/>
  <c r="K29" i="3" s="1"/>
  <c r="K31" i="3" s="1"/>
  <c r="D6" i="4"/>
  <c r="D8" i="4"/>
  <c r="G31" i="4"/>
  <c r="K30" i="4" s="1"/>
  <c r="K32" i="4" s="1"/>
  <c r="N24" i="1" l="1"/>
  <c r="D7" i="1" s="1"/>
  <c r="B1" i="1"/>
  <c r="J11" i="3"/>
  <c r="J12" i="3" s="1"/>
  <c r="N20" i="1"/>
  <c r="M7" i="1"/>
  <c r="M19" i="1"/>
  <c r="O19" i="1"/>
  <c r="N19" i="1"/>
  <c r="N28" i="1"/>
  <c r="N11" i="1"/>
  <c r="M13" i="1" s="1"/>
  <c r="M15" i="1"/>
  <c r="M20" i="1"/>
  <c r="M27" i="1"/>
  <c r="M17" i="1"/>
  <c r="O20" i="1"/>
  <c r="M28" i="1"/>
  <c r="O7" i="1" l="1"/>
  <c r="B2" i="1" s="1"/>
  <c r="N7" i="1"/>
  <c r="L12" i="4" s="1"/>
  <c r="N27" i="1"/>
  <c r="F7" i="4" s="1"/>
  <c r="N18" i="1"/>
  <c r="D6" i="3"/>
  <c r="M18" i="1"/>
  <c r="D7" i="4"/>
  <c r="F7" i="1" l="1"/>
  <c r="F6" i="3"/>
  <c r="L11" i="4"/>
  <c r="B2" i="4" s="1"/>
  <c r="L9" i="3"/>
  <c r="B2" i="3" s="1"/>
  <c r="O18" i="1"/>
  <c r="L10" i="3"/>
  <c r="B3" i="3" s="1"/>
  <c r="B3" i="4"/>
  <c r="B3" i="1"/>
  <c r="M9" i="1" l="1"/>
  <c r="N9" i="1"/>
  <c r="E16" i="1" l="1"/>
  <c r="E17" i="1" l="1"/>
  <c r="E16" i="4"/>
  <c r="E15" i="3"/>
  <c r="G16" i="1"/>
  <c r="H16" i="1" s="1"/>
  <c r="I16" i="1" s="1"/>
  <c r="D17" i="1"/>
  <c r="G15" i="3" l="1"/>
  <c r="H15" i="3" s="1"/>
  <c r="I15" i="3" s="1"/>
  <c r="D16" i="3"/>
  <c r="D17" i="4"/>
  <c r="G16" i="4"/>
  <c r="E17" i="4"/>
  <c r="D18" i="4" s="1"/>
  <c r="E18" i="1"/>
  <c r="D18" i="1"/>
  <c r="G17" i="1"/>
  <c r="H17" i="1" s="1"/>
  <c r="I17" i="1" s="1"/>
  <c r="E16" i="3"/>
  <c r="E18" i="4" l="1"/>
  <c r="E17" i="3"/>
  <c r="D19" i="1"/>
  <c r="E19" i="1"/>
  <c r="G18" i="1"/>
  <c r="H18" i="1" s="1"/>
  <c r="I18" i="1" s="1"/>
  <c r="G17" i="4"/>
  <c r="H17" i="4" s="1"/>
  <c r="I17" i="4" s="1"/>
  <c r="H16" i="4"/>
  <c r="I16" i="4" s="1"/>
  <c r="D17" i="3"/>
  <c r="G16" i="3"/>
  <c r="H16" i="3" s="1"/>
  <c r="I16" i="3" s="1"/>
  <c r="E18" i="3" l="1"/>
  <c r="D20" i="1"/>
  <c r="E20" i="1"/>
  <c r="G19" i="1"/>
  <c r="H19" i="1" s="1"/>
  <c r="I19" i="1" s="1"/>
  <c r="E19" i="4"/>
  <c r="D18" i="3"/>
  <c r="G17" i="3"/>
  <c r="H17" i="3" s="1"/>
  <c r="I17" i="3" s="1"/>
  <c r="D19" i="4"/>
  <c r="G18" i="4"/>
  <c r="H18" i="4" s="1"/>
  <c r="I18" i="4" s="1"/>
  <c r="G19" i="4" l="1"/>
  <c r="H19" i="4" s="1"/>
  <c r="I19" i="4" s="1"/>
  <c r="D20" i="4"/>
  <c r="E19" i="3"/>
  <c r="D21" i="1"/>
  <c r="G20" i="1"/>
  <c r="H20" i="1" s="1"/>
  <c r="I20" i="1" s="1"/>
  <c r="E20" i="4"/>
  <c r="E21" i="1"/>
  <c r="D19" i="3"/>
  <c r="G18" i="3"/>
  <c r="H18" i="3" s="1"/>
  <c r="I18" i="3" s="1"/>
  <c r="E21" i="4" l="1"/>
  <c r="E20" i="3"/>
  <c r="G21" i="1"/>
  <c r="D22" i="1"/>
  <c r="D21" i="4"/>
  <c r="G20" i="4"/>
  <c r="H20" i="4" s="1"/>
  <c r="I20" i="4" s="1"/>
  <c r="D20" i="3"/>
  <c r="G19" i="3"/>
  <c r="H19" i="3" s="1"/>
  <c r="I19" i="3" s="1"/>
  <c r="H21" i="1" l="1"/>
  <c r="I21" i="1" s="1"/>
  <c r="G22" i="1"/>
  <c r="H22" i="1" s="1"/>
  <c r="I22" i="1" s="1"/>
  <c r="D21" i="3"/>
  <c r="G20" i="3"/>
  <c r="D22" i="4"/>
  <c r="G21" i="4"/>
  <c r="J24" i="1" l="1"/>
  <c r="J25" i="1" s="1"/>
  <c r="J26" i="1" s="1"/>
  <c r="H21" i="4"/>
  <c r="I21" i="4" s="1"/>
  <c r="G22" i="4"/>
  <c r="H22" i="4" s="1"/>
  <c r="I22" i="4" s="1"/>
  <c r="J24" i="4" s="1"/>
  <c r="J25" i="4" s="1"/>
  <c r="J26" i="4" s="1"/>
  <c r="H20" i="3"/>
  <c r="I20" i="3" s="1"/>
  <c r="G21" i="3"/>
  <c r="H21" i="3" s="1"/>
  <c r="I21" i="3" s="1"/>
  <c r="J23" i="3" s="1"/>
  <c r="J24" i="3" s="1"/>
  <c r="J25" i="3" s="1"/>
</calcChain>
</file>

<file path=xl/sharedStrings.xml><?xml version="1.0" encoding="utf-8"?>
<sst xmlns="http://schemas.openxmlformats.org/spreadsheetml/2006/main" count="97" uniqueCount="53">
  <si>
    <r>
      <t>2003</t>
    </r>
    <r>
      <rPr>
        <sz val="12"/>
        <rFont val="新細明體"/>
        <family val="1"/>
        <charset val="136"/>
      </rPr>
      <t>年度應繳稅款</t>
    </r>
    <phoneticPr fontId="1" type="noConversion"/>
  </si>
  <si>
    <r>
      <t>2003</t>
    </r>
    <r>
      <rPr>
        <sz val="12"/>
        <rFont val="新細明體"/>
        <family val="1"/>
        <charset val="136"/>
      </rPr>
      <t>年度平均每月交付稅款</t>
    </r>
    <phoneticPr fontId="1" type="noConversion"/>
  </si>
  <si>
    <t>臨時特別豁免稅款</t>
    <phoneticPr fontId="1" type="noConversion"/>
  </si>
  <si>
    <t>1)</t>
    <phoneticPr fontId="1" type="noConversion"/>
  </si>
  <si>
    <t>2)</t>
    <phoneticPr fontId="1" type="noConversion"/>
  </si>
  <si>
    <t>Com idade inferior a 65 anos</t>
    <phoneticPr fontId="1" type="noConversion"/>
  </si>
  <si>
    <t>Ano do cálculo</t>
    <phoneticPr fontId="1" type="noConversion"/>
  </si>
  <si>
    <t xml:space="preserve">A. </t>
    <phoneticPr fontId="1" type="noConversion"/>
  </si>
  <si>
    <t xml:space="preserve">B. </t>
    <phoneticPr fontId="1" type="noConversion"/>
  </si>
  <si>
    <t>Matéria não colectável</t>
    <phoneticPr fontId="1" type="noConversion"/>
  </si>
  <si>
    <t>C.</t>
    <phoneticPr fontId="1" type="noConversion"/>
  </si>
  <si>
    <t>Rendimento mensal que não constitua matéria colectável (B + C)</t>
    <phoneticPr fontId="1" type="noConversion"/>
  </si>
  <si>
    <t>D.</t>
    <phoneticPr fontId="1" type="noConversion"/>
  </si>
  <si>
    <t xml:space="preserve">Imposto mensal calculado conforme as taxas do imposto profissional </t>
    <phoneticPr fontId="1" type="noConversion"/>
  </si>
  <si>
    <t>De</t>
    <phoneticPr fontId="1" type="noConversion"/>
  </si>
  <si>
    <t>Até</t>
    <phoneticPr fontId="1" type="noConversion"/>
  </si>
  <si>
    <t>Taxas</t>
    <phoneticPr fontId="1" type="noConversion"/>
  </si>
  <si>
    <t>Rendimento
Colectável</t>
    <phoneticPr fontId="1" type="noConversion"/>
  </si>
  <si>
    <t>Imposto do
Escalão</t>
    <phoneticPr fontId="1" type="noConversion"/>
  </si>
  <si>
    <t>Imposto
Devido</t>
    <phoneticPr fontId="1" type="noConversion"/>
  </si>
  <si>
    <t>O resultado calculado é apenas para referência. O valor tributável definitivo será fixado pela administração fiscal.</t>
    <phoneticPr fontId="1" type="noConversion"/>
  </si>
  <si>
    <t>Será arredondado,  por excesso,  para a unidade da pataca.</t>
    <phoneticPr fontId="1" type="noConversion"/>
  </si>
  <si>
    <r>
      <t>Para obtenção de mais informações detalhadas sobre o imposto profissional, é favor de consultar o website da DSF</t>
    </r>
    <r>
      <rPr>
        <u/>
        <sz val="10"/>
        <color indexed="12"/>
        <rFont val="新細明體"/>
        <family val="1"/>
        <charset val="136"/>
      </rPr>
      <t>：</t>
    </r>
    <r>
      <rPr>
        <u/>
        <sz val="10"/>
        <color indexed="12"/>
        <rFont val="Times New Roman"/>
        <family val="1"/>
      </rPr>
      <t>http://www.dsf.gov.mo</t>
    </r>
    <phoneticPr fontId="1" type="noConversion"/>
  </si>
  <si>
    <r>
      <t>Para obtenção de mais informações detalhadas sobre o imposto profissional, é favor de consultar o website da DSF</t>
    </r>
    <r>
      <rPr>
        <u/>
        <sz val="10"/>
        <color indexed="12"/>
        <rFont val="新細明體"/>
        <family val="1"/>
        <charset val="136"/>
      </rPr>
      <t>：</t>
    </r>
    <r>
      <rPr>
        <u/>
        <sz val="10"/>
        <color indexed="12"/>
        <rFont val="Times New Roman"/>
        <family val="1"/>
      </rPr>
      <t>http://www.dsf.gov.mo</t>
    </r>
    <phoneticPr fontId="1" type="noConversion"/>
  </si>
  <si>
    <t>Rendimento trimestral (incluindo a matéria não colectável)</t>
    <phoneticPr fontId="1" type="noConversion"/>
  </si>
  <si>
    <r>
      <t xml:space="preserve">D. </t>
    </r>
    <r>
      <rPr>
        <sz val="12"/>
        <rFont val="新細明體"/>
        <family val="1"/>
        <charset val="136"/>
      </rPr>
      <t/>
    </r>
    <phoneticPr fontId="1" type="noConversion"/>
  </si>
  <si>
    <t>Rendimento trimestral que não constitua matéria colectável (B + C)</t>
    <phoneticPr fontId="1" type="noConversion"/>
  </si>
  <si>
    <t xml:space="preserve">Imposto trimestral calculado conforme as taxas do imposto profissional </t>
    <phoneticPr fontId="1" type="noConversion"/>
  </si>
  <si>
    <t>Rendimento que não constitua matéria colectável (B + C)</t>
    <phoneticPr fontId="1" type="noConversion"/>
  </si>
  <si>
    <t xml:space="preserve">Imposto anual calculado conforme as taxas do imposto profissional </t>
    <phoneticPr fontId="1" type="noConversion"/>
  </si>
  <si>
    <r>
      <t xml:space="preserve">D. </t>
    </r>
    <r>
      <rPr>
        <sz val="12"/>
        <rFont val="新細明體"/>
        <family val="1"/>
        <charset val="136"/>
      </rPr>
      <t/>
    </r>
    <phoneticPr fontId="1" type="noConversion"/>
  </si>
  <si>
    <t xml:space="preserve">E. </t>
    <phoneticPr fontId="1" type="noConversion"/>
  </si>
  <si>
    <r>
      <t xml:space="preserve">F. </t>
    </r>
    <r>
      <rPr>
        <sz val="12"/>
        <rFont val="新細明體"/>
        <family val="1"/>
        <charset val="136"/>
      </rPr>
      <t/>
    </r>
    <phoneticPr fontId="1" type="noConversion"/>
  </si>
  <si>
    <r>
      <t xml:space="preserve">G. </t>
    </r>
    <r>
      <rPr>
        <b/>
        <sz val="12"/>
        <rFont val="新細明體"/>
        <family val="1"/>
        <charset val="136"/>
      </rPr>
      <t/>
    </r>
    <phoneticPr fontId="1" type="noConversion"/>
  </si>
  <si>
    <t>Dedução fixa correspondente a 30% do imposto calculado nos termos da Lei do Orçamento relativa aos anos a que se respeitam (E x 30%)</t>
    <phoneticPr fontId="1" type="noConversion"/>
  </si>
  <si>
    <t xml:space="preserve">Imposto Profissional anual devido (E - F)  </t>
    <phoneticPr fontId="1" type="noConversion"/>
  </si>
  <si>
    <t xml:space="preserve">D. </t>
    <phoneticPr fontId="1" type="noConversion"/>
  </si>
  <si>
    <t>F.</t>
    <phoneticPr fontId="1" type="noConversion"/>
  </si>
  <si>
    <t>G.</t>
    <phoneticPr fontId="1" type="noConversion"/>
  </si>
  <si>
    <t xml:space="preserve">Imposto Profissional trimestral devido (E - F)  </t>
    <phoneticPr fontId="1" type="noConversion"/>
  </si>
  <si>
    <t>Rendimento colectável trimestral (A - B - C)</t>
    <phoneticPr fontId="1" type="noConversion"/>
  </si>
  <si>
    <t>C.</t>
    <phoneticPr fontId="1" type="noConversion"/>
  </si>
  <si>
    <t>D.</t>
    <phoneticPr fontId="1" type="noConversion"/>
  </si>
  <si>
    <t>Rendimento colectável mensal (A - B - C)</t>
    <phoneticPr fontId="1" type="noConversion"/>
  </si>
  <si>
    <t xml:space="preserve">Imposto Profissional mensal devido (E - F) </t>
    <phoneticPr fontId="1" type="noConversion"/>
  </si>
  <si>
    <r>
      <t>F.</t>
    </r>
    <r>
      <rPr>
        <sz val="14"/>
        <rFont val="新細明體"/>
        <family val="1"/>
        <charset val="136"/>
      </rPr>
      <t/>
    </r>
    <phoneticPr fontId="1" type="noConversion"/>
  </si>
  <si>
    <t>Com idade superior a 65 anos/Pessoas com invalide</t>
    <phoneticPr fontId="1" type="noConversion"/>
  </si>
  <si>
    <t>Dedução fixa correspondente a 25% dos rendimentos do trabalho apurado após o abatimento referido a B [(A-B) x 25%]</t>
    <phoneticPr fontId="1" type="noConversion"/>
  </si>
  <si>
    <t>Já beneficiou ou não de benefícios do Imposto Profissional do Regime jurídico de captação de quadros qualificados ou do Regime de benefícios fiscais para as empresas que exerçam actividades de inovação científica e tecnológica?</t>
    <phoneticPr fontId="1" type="noConversion"/>
  </si>
  <si>
    <r>
      <t>Rendimento mensal</t>
    </r>
    <r>
      <rPr>
        <sz val="12"/>
        <color rgb="FF0000FF"/>
        <rFont val="Times New Roman"/>
        <family val="1"/>
      </rPr>
      <t xml:space="preserve"> ( O valor deve incluir os rendimentos que não constituam matéria colectável )</t>
    </r>
    <phoneticPr fontId="1" type="noConversion"/>
  </si>
  <si>
    <t xml:space="preserve">Matéria não colectável </t>
    <phoneticPr fontId="1" type="noConversion"/>
  </si>
  <si>
    <r>
      <t xml:space="preserve">Rendimento anual </t>
    </r>
    <r>
      <rPr>
        <sz val="12"/>
        <color rgb="FF0000FF"/>
        <rFont val="Times New Roman"/>
        <family val="1"/>
      </rPr>
      <t>( O valor deve incluir os rendimentos que não constituam matéria colectável )</t>
    </r>
    <phoneticPr fontId="1" type="noConversion"/>
  </si>
  <si>
    <t>Rendimento colectável anual (A – B – C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</si>
</sst>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Red]\(#,##0\);\-_)"/>
    <numFmt numFmtId="180" formatCode="#,##0.00000_ "/>
    <numFmt numFmtId="181" formatCode="yyyy/mm/dd"/>
    <numFmt numFmtId="182" formatCode="yyyy/m/d;@"/>
    <numFmt numFmtId="183" formatCode="0.00_ "/>
  </numFmts>
  <fonts count="30" x14ac:knownFonts="1">
    <font>
      <sz val="12"/>
      <name val="新細明體"/>
      <family val="1"/>
      <charset val="136"/>
    </font>
    <font>
      <sz val="9"/>
      <name val="新細明體"/>
      <family val="1"/>
      <charset val="136"/>
    </font>
    <font>
      <sz val="12"/>
      <name val="Times New Roman"/>
      <family val="1"/>
    </font>
    <font>
      <b/>
      <sz val="18"/>
      <name val="新細明體"/>
      <family val="1"/>
      <charset val="136"/>
    </font>
    <font>
      <u/>
      <sz val="12"/>
      <color indexed="12"/>
      <name val="新細明體"/>
      <family val="1"/>
      <charset val="136"/>
    </font>
    <font>
      <sz val="10"/>
      <name val="新細明體"/>
      <family val="1"/>
      <charset val="136"/>
    </font>
    <font>
      <u/>
      <sz val="10"/>
      <color indexed="12"/>
      <name val="新細明體"/>
      <family val="1"/>
      <charset val="136"/>
    </font>
    <font>
      <sz val="10"/>
      <color indexed="17"/>
      <name val="新細明體"/>
      <family val="1"/>
      <charset val="136"/>
    </font>
    <font>
      <sz val="11"/>
      <name val="新細明體"/>
      <family val="1"/>
      <charset val="136"/>
    </font>
    <font>
      <sz val="11"/>
      <name val="Times New Roman"/>
      <family val="1"/>
    </font>
    <font>
      <b/>
      <sz val="10"/>
      <name val="新細明體"/>
      <family val="1"/>
      <charset val="136"/>
    </font>
    <font>
      <b/>
      <sz val="14"/>
      <name val="新細明體"/>
      <family val="1"/>
      <charset val="136"/>
    </font>
    <font>
      <sz val="14"/>
      <name val="新細明體"/>
      <family val="1"/>
      <charset val="136"/>
    </font>
    <font>
      <b/>
      <sz val="12"/>
      <name val="新細明體"/>
      <family val="1"/>
      <charset val="136"/>
    </font>
    <font>
      <b/>
      <sz val="10"/>
      <color rgb="FFFF0000"/>
      <name val="新細明體"/>
      <family val="1"/>
      <charset val="136"/>
    </font>
    <font>
      <b/>
      <sz val="11"/>
      <color rgb="FFFF0000"/>
      <name val="新細明體"/>
      <family val="1"/>
      <charset val="136"/>
    </font>
    <font>
      <b/>
      <sz val="12"/>
      <color rgb="FFFF0000"/>
      <name val="新細明體"/>
      <family val="1"/>
      <charset val="136"/>
    </font>
    <font>
      <b/>
      <sz val="14"/>
      <color rgb="FFFF0000"/>
      <name val="新細明體"/>
      <family val="1"/>
      <charset val="136"/>
    </font>
    <font>
      <b/>
      <sz val="18"/>
      <name val="Times New Roman"/>
      <family val="1"/>
    </font>
    <font>
      <b/>
      <sz val="12"/>
      <name val="Times New Roman"/>
      <family val="1"/>
    </font>
    <font>
      <b/>
      <sz val="12"/>
      <color rgb="FFFF0000"/>
      <name val="Times New Roman"/>
      <family val="1"/>
    </font>
    <font>
      <sz val="10"/>
      <name val="Times New Roman"/>
      <family val="1"/>
    </font>
    <font>
      <b/>
      <sz val="10"/>
      <name val="Times New Roman"/>
      <family val="1"/>
    </font>
    <font>
      <u/>
      <sz val="10"/>
      <color indexed="12"/>
      <name val="Times New Roman"/>
      <family val="1"/>
    </font>
    <font>
      <sz val="12"/>
      <color indexed="10"/>
      <name val="Times New Roman"/>
      <family val="1"/>
    </font>
    <font>
      <b/>
      <sz val="16"/>
      <color rgb="FF0000FF"/>
      <name val="Times New Roman"/>
      <family val="1"/>
    </font>
    <font>
      <b/>
      <sz val="16"/>
      <color indexed="12"/>
      <name val="Times New Roman"/>
      <family val="1"/>
    </font>
    <font>
      <sz val="12"/>
      <color rgb="FF0000FF"/>
      <name val="Times New Roman"/>
      <family val="1"/>
    </font>
    <font>
      <sz val="9"/>
      <color rgb="FF000000"/>
      <name val="Microsoft JhengHei UI"/>
      <family val="2"/>
      <charset val="136"/>
    </font>
    <font>
      <b/>
      <sz val="12"/>
      <color theme="1"/>
      <name val="Times New Roman"/>
      <family val="1"/>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C2FEC2"/>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bottom/>
      <diagonal/>
    </border>
    <border>
      <left/>
      <right/>
      <top style="double">
        <color indexed="64"/>
      </top>
      <bottom/>
      <diagonal/>
    </border>
    <border>
      <left/>
      <right/>
      <top style="medium">
        <color indexed="64"/>
      </top>
      <bottom/>
      <diagonal/>
    </border>
    <border>
      <left/>
      <right/>
      <top style="medium">
        <color indexed="64"/>
      </top>
      <bottom style="double">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42">
    <xf numFmtId="0" fontId="0" fillId="0" borderId="0" xfId="0"/>
    <xf numFmtId="177" fontId="0" fillId="0" borderId="0" xfId="0" applyNumberFormat="1"/>
    <xf numFmtId="177" fontId="3" fillId="0" borderId="0" xfId="0" applyNumberFormat="1" applyFont="1" applyAlignment="1">
      <alignment horizontal="centerContinuous"/>
    </xf>
    <xf numFmtId="177" fontId="3" fillId="0" borderId="0" xfId="0" applyNumberFormat="1" applyFont="1"/>
    <xf numFmtId="177" fontId="0" fillId="2" borderId="1" xfId="0" applyNumberFormat="1" applyFill="1" applyBorder="1"/>
    <xf numFmtId="177" fontId="5" fillId="0" borderId="0" xfId="0" applyNumberFormat="1" applyFont="1"/>
    <xf numFmtId="177" fontId="2" fillId="3" borderId="0" xfId="0" applyNumberFormat="1" applyFont="1" applyFill="1"/>
    <xf numFmtId="177" fontId="0" fillId="3" borderId="0" xfId="0" applyNumberFormat="1" applyFill="1"/>
    <xf numFmtId="9" fontId="0" fillId="3" borderId="0" xfId="0" applyNumberFormat="1" applyFill="1" applyAlignment="1">
      <alignment horizontal="center"/>
    </xf>
    <xf numFmtId="177" fontId="0" fillId="3" borderId="1" xfId="0" applyNumberFormat="1" applyFill="1" applyBorder="1"/>
    <xf numFmtId="177" fontId="7" fillId="0" borderId="0" xfId="0" applyNumberFormat="1" applyFont="1"/>
    <xf numFmtId="177" fontId="8" fillId="0" borderId="0" xfId="0" applyNumberFormat="1" applyFont="1"/>
    <xf numFmtId="177" fontId="9" fillId="0" borderId="0" xfId="0" applyNumberFormat="1" applyFont="1"/>
    <xf numFmtId="177" fontId="9" fillId="0" borderId="4" xfId="0" applyNumberFormat="1" applyFont="1" applyBorder="1"/>
    <xf numFmtId="14" fontId="8" fillId="0" borderId="0" xfId="0" applyNumberFormat="1" applyFont="1"/>
    <xf numFmtId="177" fontId="14" fillId="0" borderId="0" xfId="0" applyNumberFormat="1" applyFont="1"/>
    <xf numFmtId="176" fontId="8" fillId="0" borderId="0" xfId="0" applyNumberFormat="1" applyFont="1"/>
    <xf numFmtId="180" fontId="8" fillId="0" borderId="0" xfId="0" applyNumberFormat="1" applyFont="1"/>
    <xf numFmtId="177" fontId="11" fillId="0" borderId="2" xfId="0" applyNumberFormat="1" applyFont="1" applyBorder="1"/>
    <xf numFmtId="177" fontId="15" fillId="0" borderId="0" xfId="0" applyNumberFormat="1" applyFont="1"/>
    <xf numFmtId="177" fontId="8" fillId="0" borderId="0" xfId="0" applyNumberFormat="1" applyFont="1" applyProtection="1">
      <protection locked="0"/>
    </xf>
    <xf numFmtId="177" fontId="12" fillId="0" borderId="0" xfId="0" applyNumberFormat="1" applyFont="1"/>
    <xf numFmtId="182" fontId="8" fillId="0" borderId="0" xfId="0" applyNumberFormat="1" applyFont="1"/>
    <xf numFmtId="177" fontId="16" fillId="0" borderId="0" xfId="0" applyNumberFormat="1" applyFont="1" applyAlignment="1">
      <alignment horizontal="center" vertical="top" wrapText="1"/>
    </xf>
    <xf numFmtId="177" fontId="18" fillId="0" borderId="0" xfId="0" applyNumberFormat="1" applyFont="1" applyAlignment="1">
      <alignment horizontal="centerContinuous"/>
    </xf>
    <xf numFmtId="177" fontId="18" fillId="0" borderId="0" xfId="0" applyNumberFormat="1" applyFont="1" applyAlignment="1">
      <alignment horizontal="centerContinuous" wrapText="1"/>
    </xf>
    <xf numFmtId="177" fontId="20" fillId="0" borderId="0" xfId="0" applyNumberFormat="1" applyFont="1" applyAlignment="1">
      <alignment horizontal="center" vertical="top" wrapText="1"/>
    </xf>
    <xf numFmtId="177" fontId="20" fillId="0" borderId="9" xfId="0" applyNumberFormat="1" applyFont="1" applyBorder="1" applyAlignment="1">
      <alignment horizontal="center" vertical="top" wrapText="1"/>
    </xf>
    <xf numFmtId="177" fontId="21" fillId="0" borderId="0" xfId="0" applyNumberFormat="1" applyFont="1"/>
    <xf numFmtId="49" fontId="9" fillId="0" borderId="4" xfId="0" applyNumberFormat="1" applyFont="1" applyBorder="1" applyAlignment="1">
      <alignment vertical="center"/>
    </xf>
    <xf numFmtId="0" fontId="2" fillId="0" borderId="4" xfId="0" applyFont="1" applyBorder="1" applyAlignment="1">
      <alignment vertical="center"/>
    </xf>
    <xf numFmtId="181" fontId="19" fillId="6" borderId="3" xfId="0" applyNumberFormat="1" applyFont="1" applyFill="1" applyBorder="1" applyAlignment="1" applyProtection="1">
      <alignment vertical="center"/>
      <protection locked="0"/>
    </xf>
    <xf numFmtId="177" fontId="2" fillId="0" borderId="0" xfId="0" applyNumberFormat="1" applyFont="1"/>
    <xf numFmtId="40" fontId="24" fillId="2" borderId="6" xfId="0" applyNumberFormat="1" applyFont="1" applyFill="1" applyBorder="1"/>
    <xf numFmtId="40" fontId="24" fillId="2" borderId="4" xfId="0" applyNumberFormat="1" applyFont="1" applyFill="1" applyBorder="1"/>
    <xf numFmtId="40" fontId="2" fillId="2" borderId="6" xfId="0" applyNumberFormat="1" applyFont="1" applyFill="1" applyBorder="1"/>
    <xf numFmtId="40" fontId="2" fillId="0" borderId="0" xfId="0" applyNumberFormat="1" applyFont="1"/>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178" fontId="2" fillId="0" borderId="1" xfId="0" applyNumberFormat="1" applyFont="1" applyBorder="1"/>
    <xf numFmtId="9" fontId="2" fillId="0" borderId="1" xfId="0" applyNumberFormat="1" applyFont="1" applyBorder="1" applyAlignment="1">
      <alignment horizontal="center"/>
    </xf>
    <xf numFmtId="40" fontId="2" fillId="2" borderId="1" xfId="0" applyNumberFormat="1" applyFont="1" applyFill="1" applyBorder="1"/>
    <xf numFmtId="177" fontId="2" fillId="0" borderId="4" xfId="0" applyNumberFormat="1" applyFont="1" applyBorder="1"/>
    <xf numFmtId="177" fontId="2" fillId="0" borderId="4" xfId="0" applyNumberFormat="1" applyFont="1" applyBorder="1" applyAlignment="1">
      <alignment horizontal="right"/>
    </xf>
    <xf numFmtId="9" fontId="2" fillId="0" borderId="4" xfId="0" applyNumberFormat="1" applyFont="1" applyBorder="1" applyAlignment="1">
      <alignment horizontal="center"/>
    </xf>
    <xf numFmtId="40" fontId="2" fillId="0" borderId="4" xfId="0" applyNumberFormat="1" applyFont="1" applyBorder="1"/>
    <xf numFmtId="179" fontId="2" fillId="0" borderId="4" xfId="0" applyNumberFormat="1" applyFont="1" applyBorder="1"/>
    <xf numFmtId="40" fontId="2" fillId="2" borderId="4" xfId="0" applyNumberFormat="1" applyFont="1" applyFill="1" applyBorder="1"/>
    <xf numFmtId="40" fontId="24" fillId="2" borderId="8" xfId="0" applyNumberFormat="1" applyFont="1" applyFill="1" applyBorder="1"/>
    <xf numFmtId="38" fontId="19" fillId="4" borderId="5" xfId="0" applyNumberFormat="1" applyFont="1" applyFill="1" applyBorder="1"/>
    <xf numFmtId="176" fontId="19" fillId="7" borderId="3" xfId="0" applyNumberFormat="1" applyFont="1" applyFill="1" applyBorder="1" applyAlignment="1">
      <alignment horizontal="right" vertical="top" wrapText="1"/>
    </xf>
    <xf numFmtId="177" fontId="0" fillId="0" borderId="0" xfId="0" applyNumberFormat="1" applyFont="1"/>
    <xf numFmtId="181" fontId="19" fillId="7" borderId="3" xfId="0" applyNumberFormat="1" applyFont="1" applyFill="1" applyBorder="1" applyAlignment="1">
      <alignment vertical="center"/>
    </xf>
    <xf numFmtId="49" fontId="0" fillId="0" borderId="4" xfId="0" applyNumberFormat="1" applyFont="1" applyBorder="1" applyAlignment="1">
      <alignment vertical="center"/>
    </xf>
    <xf numFmtId="0" fontId="0" fillId="0" borderId="4" xfId="0" applyFont="1" applyBorder="1" applyAlignment="1">
      <alignment vertical="center"/>
    </xf>
    <xf numFmtId="177" fontId="0" fillId="0" borderId="4" xfId="0" applyNumberFormat="1" applyFont="1" applyBorder="1"/>
    <xf numFmtId="177" fontId="2" fillId="0" borderId="6" xfId="0" applyNumberFormat="1" applyFont="1" applyBorder="1"/>
    <xf numFmtId="177" fontId="2" fillId="0" borderId="6" xfId="0" applyNumberFormat="1" applyFont="1" applyBorder="1" applyAlignment="1">
      <alignment horizontal="right"/>
    </xf>
    <xf numFmtId="9" fontId="2" fillId="0" borderId="6" xfId="0" applyNumberFormat="1" applyFont="1" applyBorder="1" applyAlignment="1">
      <alignment horizontal="center"/>
    </xf>
    <xf numFmtId="40" fontId="2" fillId="0" borderId="6" xfId="0" applyNumberFormat="1" applyFont="1" applyBorder="1"/>
    <xf numFmtId="179" fontId="2" fillId="0" borderId="6" xfId="0" applyNumberFormat="1" applyFont="1" applyBorder="1"/>
    <xf numFmtId="177" fontId="2" fillId="8" borderId="6" xfId="0" applyNumberFormat="1" applyFont="1" applyFill="1" applyBorder="1" applyAlignment="1">
      <alignment vertical="center"/>
    </xf>
    <xf numFmtId="177" fontId="2" fillId="0" borderId="6" xfId="0" applyNumberFormat="1" applyFont="1" applyBorder="1" applyAlignment="1">
      <alignment vertical="center" wrapText="1"/>
    </xf>
    <xf numFmtId="177" fontId="2" fillId="0" borderId="6" xfId="0" applyNumberFormat="1" applyFont="1" applyBorder="1" applyAlignment="1">
      <alignment vertical="center"/>
    </xf>
    <xf numFmtId="0" fontId="2" fillId="0" borderId="6" xfId="0" applyFont="1" applyBorder="1" applyAlignment="1">
      <alignment vertical="center"/>
    </xf>
    <xf numFmtId="177" fontId="22" fillId="0" borderId="0" xfId="0" applyNumberFormat="1" applyFont="1" applyAlignment="1">
      <alignment vertical="center"/>
    </xf>
    <xf numFmtId="177" fontId="22" fillId="0" borderId="7" xfId="0" applyNumberFormat="1" applyFont="1" applyBorder="1" applyAlignment="1">
      <alignment vertical="center"/>
    </xf>
    <xf numFmtId="177" fontId="2" fillId="0" borderId="8" xfId="0" applyNumberFormat="1" applyFont="1" applyBorder="1" applyAlignment="1">
      <alignment vertical="center"/>
    </xf>
    <xf numFmtId="177" fontId="19" fillId="0" borderId="12" xfId="0" applyNumberFormat="1" applyFont="1" applyBorder="1" applyAlignment="1">
      <alignment vertical="center"/>
    </xf>
    <xf numFmtId="4" fontId="24" fillId="2" borderId="4" xfId="0" applyNumberFormat="1" applyFont="1" applyFill="1" applyBorder="1"/>
    <xf numFmtId="4" fontId="2" fillId="2" borderId="4" xfId="0" applyNumberFormat="1" applyFont="1" applyFill="1" applyBorder="1"/>
    <xf numFmtId="178" fontId="2" fillId="0" borderId="0" xfId="0" applyNumberFormat="1" applyFont="1"/>
    <xf numFmtId="40" fontId="2" fillId="7" borderId="1" xfId="0" applyNumberFormat="1" applyFont="1" applyFill="1" applyBorder="1"/>
    <xf numFmtId="49" fontId="2" fillId="0" borderId="4" xfId="0" applyNumberFormat="1" applyFont="1" applyBorder="1" applyAlignment="1">
      <alignment vertical="center"/>
    </xf>
    <xf numFmtId="176" fontId="2" fillId="8" borderId="6" xfId="0" applyNumberFormat="1" applyFont="1" applyFill="1" applyBorder="1" applyAlignment="1">
      <alignment vertical="center"/>
    </xf>
    <xf numFmtId="177" fontId="10" fillId="0" borderId="0" xfId="0" applyNumberFormat="1" applyFont="1" applyAlignment="1">
      <alignment vertical="center"/>
    </xf>
    <xf numFmtId="177" fontId="10" fillId="0" borderId="7" xfId="0" applyNumberFormat="1" applyFont="1" applyBorder="1" applyAlignment="1">
      <alignment vertical="center"/>
    </xf>
    <xf numFmtId="177" fontId="8" fillId="0" borderId="0" xfId="0" applyNumberFormat="1" applyFont="1" applyAlignment="1">
      <alignment vertical="center"/>
    </xf>
    <xf numFmtId="4" fontId="2" fillId="2" borderId="4" xfId="0" applyNumberFormat="1" applyFont="1" applyFill="1" applyBorder="1" applyAlignment="1"/>
    <xf numFmtId="4" fontId="24" fillId="2" borderId="8" xfId="0" applyNumberFormat="1" applyFont="1" applyFill="1" applyBorder="1" applyAlignment="1"/>
    <xf numFmtId="3" fontId="19" fillId="4" borderId="5" xfId="0" applyNumberFormat="1" applyFont="1" applyFill="1" applyBorder="1" applyAlignment="1"/>
    <xf numFmtId="40" fontId="2" fillId="5" borderId="3" xfId="0" applyNumberFormat="1" applyFont="1" applyFill="1" applyBorder="1" applyProtection="1">
      <protection locked="0"/>
    </xf>
    <xf numFmtId="40" fontId="24" fillId="5" borderId="3" xfId="0" applyNumberFormat="1" applyFont="1" applyFill="1" applyBorder="1" applyProtection="1">
      <protection locked="0"/>
    </xf>
    <xf numFmtId="4" fontId="2" fillId="5" borderId="3" xfId="0" applyNumberFormat="1" applyFont="1" applyFill="1" applyBorder="1" applyProtection="1">
      <protection locked="0"/>
    </xf>
    <xf numFmtId="4" fontId="24" fillId="5" borderId="3" xfId="0" applyNumberFormat="1" applyFont="1" applyFill="1" applyBorder="1" applyProtection="1">
      <protection locked="0"/>
    </xf>
    <xf numFmtId="177" fontId="20" fillId="0" borderId="0" xfId="0" applyNumberFormat="1" applyFont="1" applyAlignment="1">
      <alignment horizontal="center" vertical="center"/>
    </xf>
    <xf numFmtId="177" fontId="17" fillId="0" borderId="0" xfId="0" applyNumberFormat="1" applyFont="1" applyAlignment="1">
      <alignment horizontal="center" vertical="top" wrapText="1"/>
    </xf>
    <xf numFmtId="40" fontId="2" fillId="5" borderId="3" xfId="0" applyNumberFormat="1" applyFont="1" applyFill="1" applyBorder="1" applyAlignment="1" applyProtection="1">
      <alignment vertical="center"/>
      <protection locked="0"/>
    </xf>
    <xf numFmtId="40" fontId="24" fillId="5" borderId="3" xfId="0" applyNumberFormat="1" applyFont="1" applyFill="1" applyBorder="1" applyAlignment="1" applyProtection="1">
      <alignment vertical="center"/>
      <protection locked="0"/>
    </xf>
    <xf numFmtId="177" fontId="20" fillId="6" borderId="0" xfId="0" applyNumberFormat="1" applyFont="1" applyFill="1" applyBorder="1" applyAlignment="1" applyProtection="1">
      <alignment horizontal="center" vertical="center"/>
      <protection locked="0"/>
    </xf>
    <xf numFmtId="177" fontId="8" fillId="0" borderId="0" xfId="0" applyNumberFormat="1" applyFont="1" applyBorder="1"/>
    <xf numFmtId="177" fontId="5" fillId="0" borderId="0" xfId="0" applyNumberFormat="1" applyFont="1" applyProtection="1">
      <protection locked="0"/>
    </xf>
    <xf numFmtId="0" fontId="23" fillId="0" borderId="11" xfId="1" applyFont="1" applyBorder="1" applyAlignment="1" applyProtection="1">
      <alignment vertical="center"/>
    </xf>
    <xf numFmtId="0" fontId="2" fillId="0" borderId="11" xfId="0" applyFont="1" applyBorder="1"/>
    <xf numFmtId="0" fontId="2" fillId="8" borderId="6" xfId="0" applyFont="1" applyFill="1" applyBorder="1" applyAlignment="1">
      <alignment vertical="center"/>
    </xf>
    <xf numFmtId="0" fontId="0" fillId="8" borderId="6" xfId="0" applyFont="1" applyFill="1" applyBorder="1" applyAlignment="1">
      <alignment vertical="center"/>
    </xf>
    <xf numFmtId="0" fontId="2" fillId="0" borderId="6" xfId="0" applyFont="1" applyBorder="1" applyAlignment="1">
      <alignment vertical="center" wrapText="1"/>
    </xf>
    <xf numFmtId="0" fontId="0" fillId="0" borderId="6"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wrapText="1"/>
    </xf>
    <xf numFmtId="0" fontId="0" fillId="0" borderId="8" xfId="0" applyFont="1" applyBorder="1" applyAlignment="1">
      <alignment vertical="center" wrapText="1"/>
    </xf>
    <xf numFmtId="177" fontId="2" fillId="0" borderId="2" xfId="0" applyNumberFormat="1" applyFont="1" applyBorder="1" applyAlignment="1">
      <alignment horizontal="center"/>
    </xf>
    <xf numFmtId="0" fontId="0" fillId="0" borderId="3" xfId="0" applyFont="1" applyBorder="1" applyAlignment="1">
      <alignment horizontal="center"/>
    </xf>
    <xf numFmtId="0" fontId="19" fillId="0" borderId="12" xfId="0" applyFont="1" applyBorder="1" applyAlignment="1">
      <alignment vertical="center"/>
    </xf>
    <xf numFmtId="0" fontId="13" fillId="0" borderId="12" xfId="0" applyFont="1" applyBorder="1" applyAlignment="1">
      <alignment vertical="center"/>
    </xf>
    <xf numFmtId="177" fontId="20" fillId="0" borderId="0" xfId="0" applyNumberFormat="1" applyFont="1" applyAlignment="1">
      <alignment horizontal="center" vertical="center"/>
    </xf>
    <xf numFmtId="177" fontId="20" fillId="0" borderId="0" xfId="0" applyNumberFormat="1" applyFont="1" applyBorder="1" applyAlignment="1">
      <alignment horizontal="center" vertical="center"/>
    </xf>
    <xf numFmtId="177" fontId="25" fillId="0" borderId="0" xfId="1" applyNumberFormat="1" applyFont="1" applyAlignment="1" applyProtection="1">
      <alignment horizontal="center" vertical="center" wrapText="1"/>
    </xf>
    <xf numFmtId="177" fontId="22" fillId="0" borderId="10" xfId="0" applyNumberFormat="1" applyFont="1" applyBorder="1" applyAlignment="1">
      <alignment horizontal="left" vertical="center"/>
    </xf>
    <xf numFmtId="177" fontId="22" fillId="0" borderId="7" xfId="0" applyNumberFormat="1" applyFont="1" applyBorder="1" applyAlignment="1">
      <alignment horizontal="left" vertical="center"/>
    </xf>
    <xf numFmtId="177" fontId="19" fillId="0" borderId="2" xfId="0" applyNumberFormat="1" applyFont="1" applyBorder="1" applyAlignment="1">
      <alignment vertical="top"/>
    </xf>
    <xf numFmtId="0" fontId="2" fillId="0" borderId="6" xfId="0" applyFont="1" applyBorder="1"/>
    <xf numFmtId="0" fontId="2" fillId="0" borderId="3" xfId="0" applyFont="1" applyBorder="1"/>
    <xf numFmtId="177" fontId="19" fillId="0" borderId="2" xfId="0" applyNumberFormat="1" applyFont="1" applyBorder="1" applyAlignment="1">
      <alignment vertical="center"/>
    </xf>
    <xf numFmtId="183" fontId="19" fillId="8" borderId="6" xfId="0" applyNumberFormat="1" applyFont="1" applyFill="1" applyBorder="1" applyAlignment="1">
      <alignment vertical="center" wrapText="1"/>
    </xf>
    <xf numFmtId="0" fontId="19" fillId="8" borderId="6" xfId="0" applyFont="1" applyFill="1" applyBorder="1" applyAlignment="1">
      <alignment vertical="center" wrapText="1"/>
    </xf>
    <xf numFmtId="0" fontId="19" fillId="0" borderId="2" xfId="0" applyFont="1" applyBorder="1" applyAlignment="1">
      <alignment vertical="center"/>
    </xf>
    <xf numFmtId="0" fontId="2" fillId="0" borderId="3" xfId="0" applyFont="1" applyBorder="1" applyAlignment="1">
      <alignment vertical="center"/>
    </xf>
    <xf numFmtId="177" fontId="19" fillId="0" borderId="2" xfId="0" applyNumberFormat="1" applyFont="1" applyBorder="1" applyAlignment="1">
      <alignment horizontal="left" vertical="top" wrapText="1"/>
    </xf>
    <xf numFmtId="0" fontId="2" fillId="0" borderId="6" xfId="0" applyFont="1" applyBorder="1" applyAlignment="1">
      <alignment horizontal="left" vertical="top" wrapText="1"/>
    </xf>
    <xf numFmtId="0" fontId="0" fillId="0" borderId="6" xfId="0" applyBorder="1" applyAlignment="1">
      <alignment vertical="center"/>
    </xf>
    <xf numFmtId="177" fontId="29" fillId="8" borderId="2" xfId="0" applyNumberFormat="1" applyFont="1" applyFill="1" applyBorder="1" applyAlignment="1">
      <alignment horizontal="left" vertical="center" wrapText="1"/>
    </xf>
    <xf numFmtId="177" fontId="29" fillId="8" borderId="6" xfId="0" applyNumberFormat="1" applyFont="1" applyFill="1" applyBorder="1" applyAlignment="1">
      <alignment horizontal="left" vertical="center" wrapText="1"/>
    </xf>
    <xf numFmtId="177" fontId="29" fillId="8" borderId="3" xfId="0" applyNumberFormat="1" applyFont="1" applyFill="1" applyBorder="1" applyAlignment="1">
      <alignment horizontal="left" vertical="center" wrapText="1"/>
    </xf>
    <xf numFmtId="0" fontId="19" fillId="0" borderId="6" xfId="0" applyFont="1" applyBorder="1" applyAlignment="1">
      <alignment vertical="center"/>
    </xf>
    <xf numFmtId="0" fontId="19" fillId="0" borderId="3" xfId="0" applyFont="1" applyBorder="1" applyAlignment="1">
      <alignment vertical="center"/>
    </xf>
    <xf numFmtId="0" fontId="0" fillId="0" borderId="3" xfId="0" applyBorder="1" applyAlignment="1">
      <alignment horizontal="center"/>
    </xf>
    <xf numFmtId="0" fontId="0" fillId="0" borderId="8" xfId="0" applyBorder="1" applyAlignment="1">
      <alignment vertical="center" wrapText="1"/>
    </xf>
    <xf numFmtId="176" fontId="2" fillId="8" borderId="6" xfId="0" applyNumberFormat="1" applyFont="1" applyFill="1" applyBorder="1" applyAlignment="1">
      <alignment vertical="center"/>
    </xf>
    <xf numFmtId="177" fontId="26" fillId="0" borderId="0" xfId="1" applyNumberFormat="1" applyFont="1" applyAlignment="1" applyProtection="1">
      <alignment horizontal="center" vertical="center" wrapText="1"/>
    </xf>
    <xf numFmtId="0" fontId="19" fillId="0" borderId="6" xfId="0" applyFont="1" applyBorder="1"/>
    <xf numFmtId="0" fontId="19" fillId="0" borderId="3" xfId="0" applyFont="1" applyBorder="1"/>
    <xf numFmtId="177" fontId="16" fillId="0" borderId="0" xfId="0" applyNumberFormat="1" applyFont="1" applyAlignment="1">
      <alignment horizontal="center"/>
    </xf>
    <xf numFmtId="0" fontId="19" fillId="0" borderId="6" xfId="0" applyFont="1" applyBorder="1" applyAlignment="1">
      <alignment horizontal="left" vertical="top" wrapText="1"/>
    </xf>
    <xf numFmtId="0" fontId="0" fillId="0" borderId="8" xfId="0" applyBorder="1" applyAlignment="1">
      <alignment vertical="center"/>
    </xf>
    <xf numFmtId="182" fontId="25" fillId="0" borderId="0" xfId="0" applyNumberFormat="1" applyFont="1" applyAlignment="1">
      <alignment horizontal="center" vertical="center" wrapText="1"/>
    </xf>
    <xf numFmtId="0" fontId="0" fillId="0" borderId="12" xfId="0" applyBorder="1" applyAlignment="1">
      <alignment vertical="center"/>
    </xf>
    <xf numFmtId="0" fontId="11" fillId="0" borderId="2" xfId="0" applyFont="1" applyBorder="1" applyAlignment="1">
      <alignment vertical="center"/>
    </xf>
    <xf numFmtId="0" fontId="0" fillId="0" borderId="3" xfId="0" applyBorder="1" applyAlignment="1">
      <alignment vertical="center"/>
    </xf>
    <xf numFmtId="177" fontId="19" fillId="0" borderId="2" xfId="0" applyNumberFormat="1" applyFont="1" applyBorder="1" applyAlignment="1">
      <alignment vertical="center" wrapText="1"/>
    </xf>
    <xf numFmtId="177" fontId="17" fillId="0" borderId="0" xfId="0" applyNumberFormat="1" applyFont="1" applyAlignment="1">
      <alignment horizontal="center" vertical="top" wrapText="1"/>
    </xf>
    <xf numFmtId="177" fontId="2" fillId="0" borderId="3" xfId="0" applyNumberFormat="1" applyFont="1" applyBorder="1" applyAlignment="1">
      <alignment horizontal="center"/>
    </xf>
  </cellXfs>
  <cellStyles count="2">
    <cellStyle name="一般" xfId="0" builtinId="0"/>
    <cellStyle name="超連結" xfId="1" builtinId="8"/>
  </cellStyles>
  <dxfs count="0"/>
  <tableStyles count="0" defaultTableStyle="TableStyleMedium9" defaultPivotStyle="PivotStyleLight16"/>
  <colors>
    <mruColors>
      <color rgb="FF0000FF"/>
      <color rgb="FF99FF99"/>
      <color rgb="FFFFBF61"/>
      <color rgb="FFFFBB57"/>
      <color rgb="FFFFC6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    Anual    '!$L$9" lockText="1"/>
</file>

<file path=xl/ctrlProps/ctrlProp10.xml><?xml version="1.0" encoding="utf-8"?>
<formControlPr xmlns="http://schemas.microsoft.com/office/spreadsheetml/2009/9/main" objectType="Radio" checked="Checked" firstButton="1" fmlaLink="$L$9"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L$4" lockText="1"/>
</file>

<file path=xl/ctrlProps/ctrlProp15.xml><?xml version="1.0" encoding="utf-8"?>
<formControlPr xmlns="http://schemas.microsoft.com/office/spreadsheetml/2009/9/main" objectType="Radio" checked="Checked"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    Anual    '!$L$4"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Radio" checked="Checked" firstButton="1" fmlaLink="'    Anual    '!$L$9"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xdr:row>
          <xdr:rowOff>47625</xdr:rowOff>
        </xdr:from>
        <xdr:to>
          <xdr:col>2</xdr:col>
          <xdr:colOff>95250</xdr:colOff>
          <xdr:row>5</xdr:row>
          <xdr:rowOff>228600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161925</xdr:rowOff>
        </xdr:from>
        <xdr:to>
          <xdr:col>2</xdr:col>
          <xdr:colOff>123825</xdr:colOff>
          <xdr:row>6</xdr:row>
          <xdr:rowOff>390525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28575</xdr:rowOff>
        </xdr:from>
        <xdr:to>
          <xdr:col>2</xdr:col>
          <xdr:colOff>85725</xdr:colOff>
          <xdr:row>7</xdr:row>
          <xdr:rowOff>209550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285750</xdr:rowOff>
        </xdr:from>
        <xdr:to>
          <xdr:col>10</xdr:col>
          <xdr:colOff>0</xdr:colOff>
          <xdr:row>4</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xdr:row>
          <xdr:rowOff>219075</xdr:rowOff>
        </xdr:from>
        <xdr:to>
          <xdr:col>9</xdr:col>
          <xdr:colOff>590550</xdr:colOff>
          <xdr:row>3</xdr:row>
          <xdr:rowOff>457200</xdr:rowOff>
        </xdr:to>
        <xdr:sp macro="" textlink="">
          <xdr:nvSpPr>
            <xdr:cNvPr id="1065" name="Option Button 41" descr="Sim"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3</xdr:row>
          <xdr:rowOff>219075</xdr:rowOff>
        </xdr:from>
        <xdr:to>
          <xdr:col>9</xdr:col>
          <xdr:colOff>1390650</xdr:colOff>
          <xdr:row>3</xdr:row>
          <xdr:rowOff>457200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Não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xdr:row>
          <xdr:rowOff>47625</xdr:rowOff>
        </xdr:from>
        <xdr:to>
          <xdr:col>2</xdr:col>
          <xdr:colOff>95250</xdr:colOff>
          <xdr:row>4</xdr:row>
          <xdr:rowOff>228600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152400</xdr:rowOff>
        </xdr:from>
        <xdr:to>
          <xdr:col>2</xdr:col>
          <xdr:colOff>76200</xdr:colOff>
          <xdr:row>5</xdr:row>
          <xdr:rowOff>361950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28575</xdr:rowOff>
        </xdr:from>
        <xdr:to>
          <xdr:col>2</xdr:col>
          <xdr:colOff>85725</xdr:colOff>
          <xdr:row>6</xdr:row>
          <xdr:rowOff>209550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xdr:row>
          <xdr:rowOff>47625</xdr:rowOff>
        </xdr:from>
        <xdr:to>
          <xdr:col>2</xdr:col>
          <xdr:colOff>95250</xdr:colOff>
          <xdr:row>5</xdr:row>
          <xdr:rowOff>228600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152400</xdr:rowOff>
        </xdr:from>
        <xdr:to>
          <xdr:col>2</xdr:col>
          <xdr:colOff>76200</xdr:colOff>
          <xdr:row>6</xdr:row>
          <xdr:rowOff>371475</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28575</xdr:rowOff>
        </xdr:from>
        <xdr:to>
          <xdr:col>2</xdr:col>
          <xdr:colOff>85725</xdr:colOff>
          <xdr:row>7</xdr:row>
          <xdr:rowOff>209550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3109" name="Group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xdr:row>
          <xdr:rowOff>219075</xdr:rowOff>
        </xdr:from>
        <xdr:to>
          <xdr:col>9</xdr:col>
          <xdr:colOff>590550</xdr:colOff>
          <xdr:row>3</xdr:row>
          <xdr:rowOff>457200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3</xdr:row>
          <xdr:rowOff>219075</xdr:rowOff>
        </xdr:from>
        <xdr:to>
          <xdr:col>9</xdr:col>
          <xdr:colOff>1390650</xdr:colOff>
          <xdr:row>3</xdr:row>
          <xdr:rowOff>457200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Não</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dsf.gov.mo/" TargetMode="External"/><Relationship Id="rId1" Type="http://schemas.openxmlformats.org/officeDocument/2006/relationships/printerSettings" Target="../printerSettings/printerSettings1.bin"/><Relationship Id="rId6" Type="http://schemas.openxmlformats.org/officeDocument/2006/relationships/image" Target="../media/image1.png"/><Relationship Id="rId11" Type="http://schemas.openxmlformats.org/officeDocument/2006/relationships/ctrlProp" Target="../ctrlProps/ctrlProp5.xml"/><Relationship Id="rId5" Type="http://schemas.openxmlformats.org/officeDocument/2006/relationships/vmlDrawing" Target="../drawings/vmlDrawing1.v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printerSettings" Target="../printerSettings/printerSettings4.bin"/><Relationship Id="rId7" Type="http://schemas.openxmlformats.org/officeDocument/2006/relationships/ctrlProp" Target="../ctrlProps/ctrlProp7.xml"/><Relationship Id="rId2" Type="http://schemas.openxmlformats.org/officeDocument/2006/relationships/hyperlink" Target="http://www.dsf.gov.mo/" TargetMode="External"/><Relationship Id="rId1" Type="http://schemas.openxmlformats.org/officeDocument/2006/relationships/printerSettings" Target="../printerSettings/printerSettings3.bin"/><Relationship Id="rId6" Type="http://schemas.openxmlformats.org/officeDocument/2006/relationships/image" Target="../media/image1.png"/><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6.bin"/><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hyperlink" Target="http://www.dsf.gov.mo/" TargetMode="External"/><Relationship Id="rId1" Type="http://schemas.openxmlformats.org/officeDocument/2006/relationships/printerSettings" Target="../printerSettings/printerSettings5.bin"/><Relationship Id="rId6" Type="http://schemas.openxmlformats.org/officeDocument/2006/relationships/image" Target="../media/image1.png"/><Relationship Id="rId11" Type="http://schemas.openxmlformats.org/officeDocument/2006/relationships/ctrlProp" Target="../ctrlProps/ctrlProp14.xml"/><Relationship Id="rId5" Type="http://schemas.openxmlformats.org/officeDocument/2006/relationships/vmlDrawing" Target="../drawings/vmlDrawing3.vml"/><Relationship Id="rId10" Type="http://schemas.openxmlformats.org/officeDocument/2006/relationships/ctrlProp" Target="../ctrlProps/ctrlProp13.xml"/><Relationship Id="rId4" Type="http://schemas.openxmlformats.org/officeDocument/2006/relationships/drawing" Target="../drawings/drawing3.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C000"/>
    <pageSetUpPr fitToPage="1"/>
  </sheetPr>
  <dimension ref="A1:IT51"/>
  <sheetViews>
    <sheetView showGridLines="0" showRowColHeaders="0" tabSelected="1" workbookViewId="0">
      <selection activeCell="J9" sqref="J9"/>
    </sheetView>
  </sheetViews>
  <sheetFormatPr defaultColWidth="0" defaultRowHeight="0" customHeight="1" zeroHeight="1" x14ac:dyDescent="0.25"/>
  <cols>
    <col min="1" max="1" width="0.875" style="1" customWidth="1"/>
    <col min="2" max="2" width="2.75" style="1" customWidth="1"/>
    <col min="3" max="3" width="3.625" style="1" customWidth="1"/>
    <col min="4" max="4" width="18.375" style="1" customWidth="1"/>
    <col min="5" max="5" width="20.625" style="1" customWidth="1"/>
    <col min="6" max="6" width="9.125" style="1" customWidth="1"/>
    <col min="7" max="9" width="15.625" style="1" customWidth="1"/>
    <col min="10" max="10" width="19.75" style="1" customWidth="1"/>
    <col min="11" max="11" width="1.75" style="1" customWidth="1"/>
    <col min="12" max="16384" width="8.75" style="1" hidden="1"/>
  </cols>
  <sheetData>
    <row r="1" spans="2:254" ht="25.5" x14ac:dyDescent="0.4">
      <c r="B1" s="25" t="str">
        <f>IF(J5="","Simulação do cálculo do Imposto Profissional mensal para ","Simulação do cálculo do Imposto Profissional mensal para "&amp;J5)</f>
        <v>Simulação do cálculo do Imposto Profissional mensal para 2026</v>
      </c>
      <c r="C1" s="24"/>
      <c r="D1" s="24"/>
      <c r="E1" s="24"/>
      <c r="F1" s="24"/>
      <c r="G1" s="24"/>
      <c r="H1" s="24"/>
      <c r="I1" s="24"/>
      <c r="J1" s="24"/>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row>
    <row r="2" spans="2:254" s="10" customFormat="1" ht="22.5" customHeight="1" x14ac:dyDescent="0.25">
      <c r="B2" s="107" t="str">
        <f>L11</f>
        <v>(Já seleccionado – Com idade inferior a 65 anos)</v>
      </c>
      <c r="C2" s="107"/>
      <c r="D2" s="107"/>
      <c r="E2" s="107"/>
      <c r="F2" s="107"/>
      <c r="G2" s="107"/>
      <c r="H2" s="107"/>
      <c r="I2" s="107"/>
      <c r="J2" s="107"/>
    </row>
    <row r="3" spans="2:254" s="5" customFormat="1" ht="22.5" customHeight="1" x14ac:dyDescent="0.25">
      <c r="B3" s="105" t="str">
        <f>L12</f>
        <v/>
      </c>
      <c r="C3" s="105"/>
      <c r="D3" s="106"/>
      <c r="E3" s="106"/>
      <c r="F3" s="106"/>
      <c r="G3" s="106"/>
      <c r="H3" s="106"/>
      <c r="I3" s="106"/>
      <c r="J3" s="106"/>
    </row>
    <row r="4" spans="2:254" s="5" customFormat="1" ht="51" customHeight="1" x14ac:dyDescent="0.25">
      <c r="B4" s="85"/>
      <c r="C4" s="85"/>
      <c r="D4" s="121" t="s">
        <v>48</v>
      </c>
      <c r="E4" s="122"/>
      <c r="F4" s="122"/>
      <c r="G4" s="122"/>
      <c r="H4" s="122"/>
      <c r="I4" s="123"/>
      <c r="J4" s="89"/>
    </row>
    <row r="5" spans="2:254" s="5" customFormat="1" ht="20.25" customHeight="1" x14ac:dyDescent="0.25">
      <c r="B5" s="26"/>
      <c r="C5" s="27"/>
      <c r="D5" s="118" t="s">
        <v>6</v>
      </c>
      <c r="E5" s="119"/>
      <c r="F5" s="119"/>
      <c r="G5" s="119"/>
      <c r="H5" s="119"/>
      <c r="I5" s="119"/>
      <c r="J5" s="50">
        <v>2026</v>
      </c>
    </row>
    <row r="6" spans="2:254" s="5" customFormat="1" ht="20.25" customHeight="1" x14ac:dyDescent="0.25">
      <c r="B6" s="28"/>
      <c r="C6" s="32"/>
      <c r="D6" s="110" t="str">
        <f>'    Anual    '!M24</f>
        <v>Com idade inferior a 65 anos</v>
      </c>
      <c r="E6" s="111"/>
      <c r="F6" s="111"/>
      <c r="G6" s="111"/>
      <c r="H6" s="111"/>
      <c r="I6" s="111"/>
      <c r="J6" s="112"/>
    </row>
    <row r="7" spans="2:254" s="5" customFormat="1" ht="39" customHeight="1" x14ac:dyDescent="0.25">
      <c r="B7" s="28"/>
      <c r="C7" s="32"/>
      <c r="D7" s="113" t="str">
        <f ca="1">'    Anual    '!N24</f>
        <v>Atingiu a idade de 65 anos no ano de 2026</v>
      </c>
      <c r="E7" s="98"/>
      <c r="F7" s="114" t="str">
        <f ca="1">'    Anual    '!N27</f>
        <v/>
      </c>
      <c r="G7" s="115"/>
      <c r="H7" s="115"/>
      <c r="I7" s="115"/>
      <c r="J7" s="31"/>
    </row>
    <row r="8" spans="2:254" s="5" customFormat="1" ht="20.25" customHeight="1" x14ac:dyDescent="0.25">
      <c r="B8" s="29"/>
      <c r="C8" s="30"/>
      <c r="D8" s="116" t="str">
        <f>'    Anual    '!O24</f>
        <v>Com idade superior a 65 anos/Pessoas com invalide</v>
      </c>
      <c r="E8" s="98"/>
      <c r="F8" s="98"/>
      <c r="G8" s="98"/>
      <c r="H8" s="98"/>
      <c r="I8" s="98"/>
      <c r="J8" s="117"/>
    </row>
    <row r="9" spans="2:254" s="11" customFormat="1" ht="20.25" customHeight="1" x14ac:dyDescent="0.25">
      <c r="B9" s="61" t="s">
        <v>7</v>
      </c>
      <c r="C9" s="94" t="s">
        <v>49</v>
      </c>
      <c r="D9" s="95"/>
      <c r="E9" s="95"/>
      <c r="F9" s="95"/>
      <c r="G9" s="95"/>
      <c r="H9" s="95"/>
      <c r="I9" s="95"/>
      <c r="J9" s="87"/>
    </row>
    <row r="10" spans="2:254" s="11" customFormat="1" ht="20.25" customHeight="1" x14ac:dyDescent="0.25">
      <c r="B10" s="61" t="s">
        <v>8</v>
      </c>
      <c r="C10" s="94" t="s">
        <v>50</v>
      </c>
      <c r="D10" s="120"/>
      <c r="E10" s="120"/>
      <c r="F10" s="120"/>
      <c r="G10" s="120"/>
      <c r="H10" s="120"/>
      <c r="I10" s="120"/>
      <c r="J10" s="88"/>
    </row>
    <row r="11" spans="2:254" s="11" customFormat="1" ht="20.25" customHeight="1" x14ac:dyDescent="0.25">
      <c r="B11" s="62" t="s">
        <v>10</v>
      </c>
      <c r="C11" s="96" t="s">
        <v>47</v>
      </c>
      <c r="D11" s="97"/>
      <c r="E11" s="97"/>
      <c r="F11" s="97"/>
      <c r="G11" s="97"/>
      <c r="H11" s="97"/>
      <c r="I11" s="97"/>
      <c r="J11" s="33">
        <f>(J9-J10)*25%</f>
        <v>0</v>
      </c>
      <c r="L11" s="11" t="str">
        <f>"("&amp;'    Anual    '!O7&amp;")"</f>
        <v>(Já seleccionado – Com idade inferior a 65 anos)</v>
      </c>
    </row>
    <row r="12" spans="2:254" s="11" customFormat="1" ht="18" hidden="1" customHeight="1" x14ac:dyDescent="0.25">
      <c r="B12" s="63" t="s">
        <v>12</v>
      </c>
      <c r="C12" s="64" t="s">
        <v>11</v>
      </c>
      <c r="D12" s="64"/>
      <c r="E12" s="64"/>
      <c r="F12" s="64"/>
      <c r="G12" s="64"/>
      <c r="H12" s="64"/>
      <c r="I12" s="64"/>
      <c r="J12" s="34">
        <f>SUM(J10:J11)</f>
        <v>0</v>
      </c>
      <c r="L12" s="19" t="str">
        <f>'    Anual    '!N7</f>
        <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row>
    <row r="13" spans="2:254" s="11" customFormat="1" ht="20.25" customHeight="1" x14ac:dyDescent="0.25">
      <c r="B13" s="63" t="s">
        <v>42</v>
      </c>
      <c r="C13" s="98" t="s">
        <v>43</v>
      </c>
      <c r="D13" s="120"/>
      <c r="E13" s="120"/>
      <c r="F13" s="120"/>
      <c r="G13" s="120"/>
      <c r="H13" s="120"/>
      <c r="I13" s="120"/>
      <c r="J13" s="35">
        <f>J9-J10-J11</f>
        <v>0</v>
      </c>
    </row>
    <row r="14" spans="2:254" s="11" customFormat="1" ht="7.5" customHeight="1" x14ac:dyDescent="0.25">
      <c r="B14" s="12"/>
      <c r="C14" s="32"/>
      <c r="D14" s="32"/>
      <c r="E14" s="32"/>
      <c r="F14" s="32"/>
      <c r="G14" s="32"/>
      <c r="H14" s="32"/>
      <c r="I14" s="32"/>
      <c r="J14" s="36"/>
    </row>
    <row r="15" spans="2:254" s="11" customFormat="1" ht="31.5" x14ac:dyDescent="0.25">
      <c r="B15" s="12"/>
      <c r="C15" s="32"/>
      <c r="D15" s="37" t="s">
        <v>14</v>
      </c>
      <c r="E15" s="37" t="s">
        <v>15</v>
      </c>
      <c r="F15" s="37" t="s">
        <v>16</v>
      </c>
      <c r="G15" s="38" t="s">
        <v>17</v>
      </c>
      <c r="H15" s="38" t="s">
        <v>18</v>
      </c>
      <c r="I15" s="38" t="s">
        <v>19</v>
      </c>
      <c r="J15" s="32"/>
    </row>
    <row r="16" spans="2:254" s="11" customFormat="1" ht="16.5" customHeight="1" x14ac:dyDescent="0.25">
      <c r="B16" s="12"/>
      <c r="C16" s="32"/>
      <c r="D16" s="39">
        <v>0</v>
      </c>
      <c r="E16" s="39">
        <f>'    Anual    '!E16/12</f>
        <v>12000</v>
      </c>
      <c r="F16" s="40">
        <v>0</v>
      </c>
      <c r="G16" s="41">
        <f>MIN(E16,J13)</f>
        <v>0</v>
      </c>
      <c r="H16" s="41">
        <f>ROUNDDOWN(G16*F16,2)</f>
        <v>0</v>
      </c>
      <c r="I16" s="41">
        <f>H16</f>
        <v>0</v>
      </c>
      <c r="J16" s="32"/>
    </row>
    <row r="17" spans="2:11" s="11" customFormat="1" ht="16.5" customHeight="1" x14ac:dyDescent="0.25">
      <c r="B17" s="12"/>
      <c r="C17" s="32"/>
      <c r="D17" s="39">
        <f>E16+0.01</f>
        <v>12000.01</v>
      </c>
      <c r="E17" s="39">
        <f>'    Anual    '!E17/12</f>
        <v>13666.666666666666</v>
      </c>
      <c r="F17" s="40">
        <v>7.0000000000000007E-2</v>
      </c>
      <c r="G17" s="41">
        <f>MIN(E17-E16,$J$13-SUM($G$16:G16))</f>
        <v>0</v>
      </c>
      <c r="H17" s="41">
        <f>IF(G17=0,0,ROUNDDOWN(G17*F17-(H16-G16*F16),2))</f>
        <v>0</v>
      </c>
      <c r="I17" s="41">
        <f t="shared" ref="I17:I22" si="0">IF(H17=0,0,I16+H17)</f>
        <v>0</v>
      </c>
      <c r="J17" s="32"/>
    </row>
    <row r="18" spans="2:11" s="11" customFormat="1" ht="16.5" customHeight="1" x14ac:dyDescent="0.25">
      <c r="B18" s="12"/>
      <c r="C18" s="32"/>
      <c r="D18" s="39">
        <f>E17+0.01</f>
        <v>13666.676666666666</v>
      </c>
      <c r="E18" s="39">
        <f>'    Anual    '!E18/12</f>
        <v>15333.333333333334</v>
      </c>
      <c r="F18" s="40">
        <v>0.08</v>
      </c>
      <c r="G18" s="41">
        <f>MIN(E18-E17,$J$13-SUM($G$16:G17))</f>
        <v>0</v>
      </c>
      <c r="H18" s="41">
        <f>IF(G18=0,0,ROUNDDOWN(G18*F18-(SUM($H$17:H17)-G17*F17),2))</f>
        <v>0</v>
      </c>
      <c r="I18" s="41">
        <f t="shared" si="0"/>
        <v>0</v>
      </c>
      <c r="J18" s="32"/>
    </row>
    <row r="19" spans="2:11" s="11" customFormat="1" ht="16.5" customHeight="1" x14ac:dyDescent="0.25">
      <c r="B19" s="12"/>
      <c r="C19" s="32"/>
      <c r="D19" s="39">
        <f>E18+0.01</f>
        <v>15333.343333333334</v>
      </c>
      <c r="E19" s="39">
        <f>'    Anual    '!E19/12</f>
        <v>18666.666666666668</v>
      </c>
      <c r="F19" s="40">
        <v>0.09</v>
      </c>
      <c r="G19" s="41">
        <f>MIN(E19-E18,$J$13-SUM($G$16:G18))</f>
        <v>0</v>
      </c>
      <c r="H19" s="41">
        <f>IF(G19=0,0,ROUNDDOWN(G19*F19-(SUM($H$17:H18)-G18*F18-G17*F17),2))</f>
        <v>0</v>
      </c>
      <c r="I19" s="41">
        <f t="shared" si="0"/>
        <v>0</v>
      </c>
      <c r="J19" s="32"/>
    </row>
    <row r="20" spans="2:11" s="11" customFormat="1" ht="16.5" customHeight="1" x14ac:dyDescent="0.25">
      <c r="B20" s="12"/>
      <c r="C20" s="32"/>
      <c r="D20" s="39">
        <f>E19+0.01</f>
        <v>18666.676666666666</v>
      </c>
      <c r="E20" s="39">
        <f>'    Anual    '!E20/12</f>
        <v>25333.333333333332</v>
      </c>
      <c r="F20" s="40">
        <v>0.1</v>
      </c>
      <c r="G20" s="41">
        <f>MIN(E20-E19,$J$13-SUM($G$16:G19))</f>
        <v>0</v>
      </c>
      <c r="H20" s="41">
        <f>IF(G20=0,0,ROUNDDOWN(G20*F20-(SUM($H$17:H19)-G19*F19-G18*F18-G17*F17),2))</f>
        <v>0</v>
      </c>
      <c r="I20" s="41">
        <f t="shared" si="0"/>
        <v>0</v>
      </c>
      <c r="J20" s="32"/>
    </row>
    <row r="21" spans="2:11" s="11" customFormat="1" ht="16.5" customHeight="1" x14ac:dyDescent="0.25">
      <c r="B21" s="12"/>
      <c r="C21" s="32"/>
      <c r="D21" s="39">
        <f>E20+0.01</f>
        <v>25333.343333333331</v>
      </c>
      <c r="E21" s="39">
        <f>'    Anual    '!E21/12</f>
        <v>35333.333333333336</v>
      </c>
      <c r="F21" s="40">
        <v>0.11</v>
      </c>
      <c r="G21" s="41">
        <f>MIN(E21-E20,$J$13-SUM($G$16:G20))</f>
        <v>0</v>
      </c>
      <c r="H21" s="41">
        <f>IF(G21=0,0,ROUNDDOWN(G21*F21-(SUM($H$17:H20)-G20*F20-G19*F19-G18*F18-G17*F17),2))</f>
        <v>0</v>
      </c>
      <c r="I21" s="41">
        <f t="shared" si="0"/>
        <v>0</v>
      </c>
      <c r="J21" s="32"/>
    </row>
    <row r="22" spans="2:11" s="11" customFormat="1" ht="16.5" customHeight="1" x14ac:dyDescent="0.25">
      <c r="B22" s="12"/>
      <c r="C22" s="32"/>
      <c r="D22" s="101" t="str">
        <f>"acima de " &amp; FIXED(E21,2,FALSE)</f>
        <v>acima de 35,333.33</v>
      </c>
      <c r="E22" s="102"/>
      <c r="F22" s="40">
        <v>0.12</v>
      </c>
      <c r="G22" s="41">
        <f>$J$13-SUM($G$16:G21)</f>
        <v>0</v>
      </c>
      <c r="H22" s="41">
        <f>IF(G22=0,0,ROUNDDOWN(G22*F22-(SUM($H$17:H21)-G21*F21-G20*F20-G19*F19-G18*F18-G17*F17),2))</f>
        <v>0</v>
      </c>
      <c r="I22" s="41">
        <f t="shared" si="0"/>
        <v>0</v>
      </c>
      <c r="J22" s="32"/>
    </row>
    <row r="23" spans="2:11" s="11" customFormat="1" ht="7.5" customHeight="1" x14ac:dyDescent="0.25">
      <c r="B23" s="13"/>
      <c r="C23" s="42"/>
      <c r="D23" s="42"/>
      <c r="E23" s="43"/>
      <c r="F23" s="44"/>
      <c r="G23" s="45"/>
      <c r="H23" s="46"/>
      <c r="I23" s="46"/>
      <c r="J23" s="42"/>
    </row>
    <row r="24" spans="2:11" s="11" customFormat="1" ht="19.5" customHeight="1" x14ac:dyDescent="0.25">
      <c r="B24" s="63" t="s">
        <v>31</v>
      </c>
      <c r="C24" s="98" t="s">
        <v>13</v>
      </c>
      <c r="D24" s="97"/>
      <c r="E24" s="97"/>
      <c r="F24" s="97"/>
      <c r="G24" s="97"/>
      <c r="H24" s="97"/>
      <c r="I24" s="97"/>
      <c r="J24" s="47">
        <f>ROUNDDOWN(MAX(I16:I22),2)</f>
        <v>0</v>
      </c>
    </row>
    <row r="25" spans="2:11" s="11" customFormat="1" ht="39" customHeight="1" thickBot="1" x14ac:dyDescent="0.3">
      <c r="B25" s="67" t="s">
        <v>45</v>
      </c>
      <c r="C25" s="99" t="s">
        <v>34</v>
      </c>
      <c r="D25" s="100"/>
      <c r="E25" s="100"/>
      <c r="F25" s="100"/>
      <c r="G25" s="100"/>
      <c r="H25" s="100"/>
      <c r="I25" s="100"/>
      <c r="J25" s="48">
        <f>ROUNDDOWN(J24*30%,2)</f>
        <v>0</v>
      </c>
    </row>
    <row r="26" spans="2:11" s="11" customFormat="1" ht="19.5" customHeight="1" thickBot="1" x14ac:dyDescent="0.3">
      <c r="B26" s="68" t="s">
        <v>38</v>
      </c>
      <c r="C26" s="103" t="s">
        <v>44</v>
      </c>
      <c r="D26" s="104"/>
      <c r="E26" s="104"/>
      <c r="F26" s="104"/>
      <c r="G26" s="104"/>
      <c r="H26" s="104"/>
      <c r="I26" s="104"/>
      <c r="J26" s="49">
        <f>ROUNDUP(J24-J25,0)</f>
        <v>0</v>
      </c>
    </row>
    <row r="27" spans="2:11" s="11" customFormat="1" ht="16.5" customHeight="1" thickTop="1" x14ac:dyDescent="0.25">
      <c r="B27" s="65" t="s">
        <v>3</v>
      </c>
      <c r="C27" s="108" t="s">
        <v>20</v>
      </c>
      <c r="D27" s="108"/>
      <c r="E27" s="108"/>
      <c r="F27" s="108"/>
      <c r="G27" s="108"/>
      <c r="H27" s="108"/>
      <c r="I27" s="108"/>
      <c r="J27" s="108"/>
    </row>
    <row r="28" spans="2:11" s="11" customFormat="1" ht="16.5" customHeight="1" thickBot="1" x14ac:dyDescent="0.3">
      <c r="B28" s="66" t="s">
        <v>4</v>
      </c>
      <c r="C28" s="109" t="s">
        <v>21</v>
      </c>
      <c r="D28" s="109"/>
      <c r="E28" s="109"/>
      <c r="F28" s="109"/>
      <c r="G28" s="109"/>
      <c r="H28" s="109"/>
      <c r="I28" s="109"/>
      <c r="J28" s="109"/>
    </row>
    <row r="29" spans="2:11" s="11" customFormat="1" ht="15.75" x14ac:dyDescent="0.25">
      <c r="B29" s="92" t="s">
        <v>22</v>
      </c>
      <c r="C29" s="93"/>
      <c r="D29" s="93"/>
      <c r="E29" s="93"/>
      <c r="F29" s="93"/>
      <c r="G29" s="93"/>
      <c r="H29" s="93"/>
      <c r="I29" s="93"/>
      <c r="J29" s="93"/>
    </row>
    <row r="30" spans="2:11" ht="16.5" hidden="1" x14ac:dyDescent="0.25">
      <c r="B30" s="6" t="s">
        <v>0</v>
      </c>
      <c r="C30" s="7"/>
      <c r="D30" s="7"/>
      <c r="E30" s="7"/>
      <c r="F30" s="7"/>
      <c r="G30" s="7"/>
      <c r="H30" s="7"/>
      <c r="I30" s="7"/>
      <c r="J30" s="7"/>
      <c r="K30" s="4" t="e">
        <f>#REF!-G31</f>
        <v>#REF!</v>
      </c>
    </row>
    <row r="31" spans="2:11" ht="16.5" hidden="1" x14ac:dyDescent="0.25">
      <c r="B31" s="7"/>
      <c r="C31" s="7" t="s">
        <v>2</v>
      </c>
      <c r="D31" s="7"/>
      <c r="E31" s="7"/>
      <c r="F31" s="8">
        <v>0.25</v>
      </c>
      <c r="G31" s="9" t="e">
        <f>#REF!*F31</f>
        <v>#REF!</v>
      </c>
      <c r="H31" s="7"/>
      <c r="I31" s="7"/>
      <c r="J31" s="7"/>
    </row>
    <row r="32" spans="2:11" ht="16.5" hidden="1" x14ac:dyDescent="0.25">
      <c r="B32" s="6" t="s">
        <v>1</v>
      </c>
      <c r="C32" s="7"/>
      <c r="D32" s="7"/>
      <c r="E32" s="7"/>
      <c r="F32" s="7"/>
      <c r="G32" s="7"/>
      <c r="H32" s="7"/>
      <c r="I32" s="7"/>
      <c r="J32" s="7"/>
      <c r="K32" s="4" t="e">
        <f>K30/12</f>
        <v>#REF!</v>
      </c>
    </row>
    <row r="33" ht="16.5" hidden="1" x14ac:dyDescent="0.25"/>
    <row r="34" ht="16.5" hidden="1" x14ac:dyDescent="0.25"/>
    <row r="35" ht="16.5" hidden="1" x14ac:dyDescent="0.25"/>
    <row r="36" ht="16.5" hidden="1" x14ac:dyDescent="0.25"/>
    <row r="37" ht="16.5" hidden="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sheetData>
  <sheetProtection sheet="1" objects="1" scenarios="1" selectLockedCells="1"/>
  <customSheetViews>
    <customSheetView guid="{AA3E4D5E-3A47-45A8-BB43-466E3FB86B12}" showGridLines="0" showRowCol="0" fitToPage="1" hiddenRows="1" hiddenColumns="1" showRuler="0">
      <selection activeCell="J5" sqref="J5"/>
      <pageMargins left="0.74803149606299213" right="0.74803149606299213" top="0.98425196850393704" bottom="0.98425196850393704" header="0.51181102362204722" footer="0.51181102362204722"/>
      <printOptions horizontalCentered="1" verticalCentered="1"/>
      <pageSetup paperSize="9" orientation="landscape" r:id="rId1"/>
      <headerFooter alignWithMargins="0"/>
    </customSheetView>
  </customSheetViews>
  <mergeCells count="19">
    <mergeCell ref="B3:J3"/>
    <mergeCell ref="B2:J2"/>
    <mergeCell ref="C27:J27"/>
    <mergeCell ref="C28:J28"/>
    <mergeCell ref="D6:J6"/>
    <mergeCell ref="D7:E7"/>
    <mergeCell ref="F7:I7"/>
    <mergeCell ref="D8:J8"/>
    <mergeCell ref="D5:I5"/>
    <mergeCell ref="C13:I13"/>
    <mergeCell ref="C10:I10"/>
    <mergeCell ref="D4:I4"/>
    <mergeCell ref="B29:J29"/>
    <mergeCell ref="C9:I9"/>
    <mergeCell ref="C11:I11"/>
    <mergeCell ref="C24:I24"/>
    <mergeCell ref="C25:I25"/>
    <mergeCell ref="D22:E22"/>
    <mergeCell ref="C26:I26"/>
  </mergeCells>
  <phoneticPr fontId="1" type="noConversion"/>
  <dataValidations xWindow="806" yWindow="258" count="3">
    <dataValidation type="decimal" allowBlank="1" showErrorMessage="1" errorTitle="注意：" error="O valor não pode ser superior ao rendimento total." promptTitle="Matéria não colectável" prompt="O valor não pode ser superior ao rendimento total." sqref="J10" xr:uid="{00000000-0002-0000-0000-000000000000}">
      <formula1>0</formula1>
      <formula2>J9</formula2>
    </dataValidation>
    <dataValidation type="decimal" allowBlank="1" showErrorMessage="1" errorTitle="Atenção:" error="1. O valor a inserir deve ser um valor inteiro._x000a_2. O valor não pode ser inferior à matéria não colectável mensal." promptTitle="Rendimento mensal" prompt="Atenção:_x000a_O valor deve incluir o rendimento mensal que não constitua matéria colectável." sqref="J9" xr:uid="{00000000-0002-0000-0000-000001000000}">
      <formula1>J10</formula1>
      <formula2>999999999999</formula2>
    </dataValidation>
    <dataValidation operator="greaterThanOrEqual" allowBlank="1" promptTitle="Ano do cálculo:" prompt="Insira primeiramente o “Ano do cálculo” na página de “Cálculo mensal”" sqref="J5" xr:uid="{00000000-0002-0000-0000-000002000000}"/>
  </dataValidations>
  <hyperlinks>
    <hyperlink ref="B29" r:id="rId2" display="有關房屋稅之詳細資料，請瀏覽財政局網 http://www.dsf.gov.mo" xr:uid="{00000000-0004-0000-0000-000000000000}"/>
  </hyperlinks>
  <printOptions horizontalCentered="1" verticalCentered="1"/>
  <pageMargins left="0.74803149606299213" right="0.74803149606299213" top="0.98425196850393704" bottom="0.98425196850393704" header="0.51181102362204722" footer="0.51181102362204722"/>
  <pageSetup paperSize="9" orientation="landscape" cellComments="asDisplayed" r:id="rId3"/>
  <headerFooter alignWithMargins="0"/>
  <drawing r:id="rId4"/>
  <legacyDrawing r:id="rId5"/>
  <picture r:id="rId6"/>
  <mc:AlternateContent xmlns:mc="http://schemas.openxmlformats.org/markup-compatibility/2006">
    <mc:Choice Requires="x14">
      <controls>
        <mc:AlternateContent xmlns:mc="http://schemas.openxmlformats.org/markup-compatibility/2006">
          <mc:Choice Requires="x14">
            <control shapeId="1061" r:id="rId7" name="Option Button 37">
              <controlPr defaultSize="0" autoFill="0" autoLine="0" autoPict="0">
                <anchor moveWithCells="1">
                  <from>
                    <xdr:col>1</xdr:col>
                    <xdr:colOff>38100</xdr:colOff>
                    <xdr:row>5</xdr:row>
                    <xdr:rowOff>47625</xdr:rowOff>
                  </from>
                  <to>
                    <xdr:col>2</xdr:col>
                    <xdr:colOff>95250</xdr:colOff>
                    <xdr:row>5</xdr:row>
                    <xdr:rowOff>228600</xdr:rowOff>
                  </to>
                </anchor>
              </controlPr>
            </control>
          </mc:Choice>
        </mc:AlternateContent>
        <mc:AlternateContent xmlns:mc="http://schemas.openxmlformats.org/markup-compatibility/2006">
          <mc:Choice Requires="x14">
            <control shapeId="1062" r:id="rId8" name="Option Button 38">
              <controlPr defaultSize="0" autoFill="0" autoLine="0" autoPict="0">
                <anchor moveWithCells="1">
                  <from>
                    <xdr:col>1</xdr:col>
                    <xdr:colOff>38100</xdr:colOff>
                    <xdr:row>6</xdr:row>
                    <xdr:rowOff>161925</xdr:rowOff>
                  </from>
                  <to>
                    <xdr:col>2</xdr:col>
                    <xdr:colOff>123825</xdr:colOff>
                    <xdr:row>6</xdr:row>
                    <xdr:rowOff>390525</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1</xdr:col>
                    <xdr:colOff>38100</xdr:colOff>
                    <xdr:row>7</xdr:row>
                    <xdr:rowOff>28575</xdr:rowOff>
                  </from>
                  <to>
                    <xdr:col>2</xdr:col>
                    <xdr:colOff>85725</xdr:colOff>
                    <xdr:row>7</xdr:row>
                    <xdr:rowOff>209550</xdr:rowOff>
                  </to>
                </anchor>
              </controlPr>
            </control>
          </mc:Choice>
        </mc:AlternateContent>
        <mc:AlternateContent xmlns:mc="http://schemas.openxmlformats.org/markup-compatibility/2006">
          <mc:Choice Requires="x14">
            <control shapeId="1064" r:id="rId10" name="Group Box 40">
              <controlPr defaultSize="0" autoFill="0" autoPict="0" altText="">
                <anchor moveWithCells="1">
                  <from>
                    <xdr:col>9</xdr:col>
                    <xdr:colOff>0</xdr:colOff>
                    <xdr:row>2</xdr:row>
                    <xdr:rowOff>285750</xdr:rowOff>
                  </from>
                  <to>
                    <xdr:col>10</xdr:col>
                    <xdr:colOff>0</xdr:colOff>
                    <xdr:row>4</xdr:row>
                    <xdr:rowOff>0</xdr:rowOff>
                  </to>
                </anchor>
              </controlPr>
            </control>
          </mc:Choice>
        </mc:AlternateContent>
        <mc:AlternateContent xmlns:mc="http://schemas.openxmlformats.org/markup-compatibility/2006">
          <mc:Choice Requires="x14">
            <control shapeId="1065" r:id="rId11" name="Option Button 41">
              <controlPr defaultSize="0" autoFill="0" autoLine="0" autoPict="0" altText="Sim">
                <anchor moveWithCells="1">
                  <from>
                    <xdr:col>9</xdr:col>
                    <xdr:colOff>95250</xdr:colOff>
                    <xdr:row>3</xdr:row>
                    <xdr:rowOff>219075</xdr:rowOff>
                  </from>
                  <to>
                    <xdr:col>9</xdr:col>
                    <xdr:colOff>590550</xdr:colOff>
                    <xdr:row>3</xdr:row>
                    <xdr:rowOff>457200</xdr:rowOff>
                  </to>
                </anchor>
              </controlPr>
            </control>
          </mc:Choice>
        </mc:AlternateContent>
        <mc:AlternateContent xmlns:mc="http://schemas.openxmlformats.org/markup-compatibility/2006">
          <mc:Choice Requires="x14">
            <control shapeId="1066" r:id="rId12" name="Option Button 42">
              <controlPr locked="0" defaultSize="0" autoFill="0" autoLine="0" autoPict="0">
                <anchor moveWithCells="1">
                  <from>
                    <xdr:col>9</xdr:col>
                    <xdr:colOff>914400</xdr:colOff>
                    <xdr:row>3</xdr:row>
                    <xdr:rowOff>219075</xdr:rowOff>
                  </from>
                  <to>
                    <xdr:col>9</xdr:col>
                    <xdr:colOff>1390650</xdr:colOff>
                    <xdr:row>3</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6" yWindow="258" count="1">
        <x14:dataValidation type="date" allowBlank="1" showInputMessage="1" showErrorMessage="1" errorTitle="Data de nascimento incorrecto：" error="- deve usar a forma de ano/mês/dia_x000a_- deve indicar o ano do cálculo em que o requerente já atingiu a idade de 65 anos_x000a_" promptTitle="Insira a data de nascimento :" prompt="Insira a data de nascimento da pessoa que atinja a idade de 65 anos no ano do cálculo (deve usar esta forma: ano/mês/dia)" xr:uid="{00000000-0002-0000-0000-000003000000}">
          <x14:formula1>
            <xm:f>'    Anual    '!M27</xm:f>
          </x14:formula1>
          <x14:formula2>
            <xm:f>'    Anual    '!M28</xm:f>
          </x14:formula2>
          <xm:sqref>J7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theme="4" tint="0.39997558519241921"/>
    <pageSetUpPr fitToPage="1"/>
  </sheetPr>
  <dimension ref="A1:M49"/>
  <sheetViews>
    <sheetView showGridLines="0" showRowColHeaders="0" workbookViewId="0">
      <selection activeCell="J8" sqref="J8"/>
    </sheetView>
  </sheetViews>
  <sheetFormatPr defaultColWidth="0" defaultRowHeight="0" customHeight="1" zeroHeight="1" x14ac:dyDescent="0.25"/>
  <cols>
    <col min="1" max="1" width="0.875" style="1" customWidth="1"/>
    <col min="2" max="2" width="2.75" style="1" customWidth="1"/>
    <col min="3" max="3" width="3.625" style="1" customWidth="1"/>
    <col min="4" max="4" width="18.375" style="1" customWidth="1"/>
    <col min="5" max="5" width="20.625" style="1" customWidth="1"/>
    <col min="6" max="6" width="9.125" style="1" customWidth="1"/>
    <col min="7" max="9" width="15.625" style="1" customWidth="1"/>
    <col min="10" max="10" width="19.75" style="1" customWidth="1"/>
    <col min="11" max="11" width="1.75" style="1" customWidth="1"/>
    <col min="12" max="12" width="9.125" style="1" hidden="1" customWidth="1"/>
    <col min="13" max="16384" width="9" style="1" hidden="1"/>
  </cols>
  <sheetData>
    <row r="1" spans="2:13" ht="25.5" x14ac:dyDescent="0.4">
      <c r="B1" s="25" t="str">
        <f>IF(J4="","Simulação do cálculo do Imposto Profissional trimestral para ","Simulação do cálculo do Imposto Profissional trimestral para "&amp;J4)</f>
        <v>Simulação do cálculo do Imposto Profissional trimestral para 2026</v>
      </c>
      <c r="C1" s="2"/>
      <c r="D1" s="2"/>
      <c r="E1" s="2"/>
      <c r="F1" s="2"/>
      <c r="G1" s="2"/>
      <c r="H1" s="2"/>
      <c r="I1" s="2"/>
      <c r="J1" s="2"/>
      <c r="K1" s="3"/>
      <c r="L1" s="3"/>
    </row>
    <row r="2" spans="2:13" s="10" customFormat="1" ht="22.5" customHeight="1" x14ac:dyDescent="0.25">
      <c r="B2" s="129" t="str">
        <f>L9</f>
        <v>(Já seleccionado – Com idade inferior a 65 anos)</v>
      </c>
      <c r="C2" s="129"/>
      <c r="D2" s="129"/>
      <c r="E2" s="129"/>
      <c r="F2" s="129"/>
      <c r="G2" s="129"/>
      <c r="H2" s="129"/>
      <c r="I2" s="129"/>
      <c r="J2" s="129"/>
    </row>
    <row r="3" spans="2:13" s="5" customFormat="1" ht="22.5" customHeight="1" x14ac:dyDescent="0.25">
      <c r="B3" s="132" t="str">
        <f>L10</f>
        <v/>
      </c>
      <c r="C3" s="132"/>
      <c r="D3" s="132"/>
      <c r="E3" s="132"/>
      <c r="F3" s="132"/>
      <c r="G3" s="132"/>
      <c r="H3" s="132"/>
      <c r="I3" s="132"/>
      <c r="J3" s="132"/>
    </row>
    <row r="4" spans="2:13" s="5" customFormat="1" ht="19.5" customHeight="1" x14ac:dyDescent="0.25">
      <c r="B4" s="23"/>
      <c r="C4" s="23"/>
      <c r="D4" s="118" t="s">
        <v>6</v>
      </c>
      <c r="E4" s="133"/>
      <c r="F4" s="133"/>
      <c r="G4" s="133"/>
      <c r="H4" s="133"/>
      <c r="I4" s="133"/>
      <c r="J4" s="50">
        <f>M4</f>
        <v>2026</v>
      </c>
      <c r="M4" s="5">
        <f>IF('    Mensal    '!J5&gt;2018,'    Mensal    '!J5,"")</f>
        <v>2026</v>
      </c>
    </row>
    <row r="5" spans="2:13" s="5" customFormat="1" ht="19.5" customHeight="1" x14ac:dyDescent="0.25">
      <c r="B5" s="51"/>
      <c r="C5" s="51"/>
      <c r="D5" s="110" t="str">
        <f>'    Anual    '!M24</f>
        <v>Com idade inferior a 65 anos</v>
      </c>
      <c r="E5" s="130"/>
      <c r="F5" s="130"/>
      <c r="G5" s="130"/>
      <c r="H5" s="130"/>
      <c r="I5" s="130"/>
      <c r="J5" s="131"/>
      <c r="M5" s="5" t="str">
        <f>IF('    Mensal    '!J7&gt;1900/1/1,'    Mensal    '!J7,"")</f>
        <v/>
      </c>
    </row>
    <row r="6" spans="2:13" s="5" customFormat="1" ht="39" customHeight="1" x14ac:dyDescent="0.25">
      <c r="B6" s="51"/>
      <c r="C6" s="51"/>
      <c r="D6" s="113" t="str">
        <f ca="1">'    Anual    '!N24</f>
        <v>Atingiu a idade de 65 anos no ano de 2026</v>
      </c>
      <c r="E6" s="124"/>
      <c r="F6" s="114" t="str">
        <f ca="1">'    Anual    '!N27</f>
        <v/>
      </c>
      <c r="G6" s="115"/>
      <c r="H6" s="115"/>
      <c r="I6" s="115"/>
      <c r="J6" s="52" t="str">
        <f>M5</f>
        <v/>
      </c>
    </row>
    <row r="7" spans="2:13" s="5" customFormat="1" ht="19.5" customHeight="1" x14ac:dyDescent="0.25">
      <c r="B7" s="53"/>
      <c r="C7" s="54"/>
      <c r="D7" s="116" t="str">
        <f>'    Anual    '!O24</f>
        <v>Com idade superior a 65 anos/Pessoas com invalide</v>
      </c>
      <c r="E7" s="124"/>
      <c r="F7" s="124"/>
      <c r="G7" s="124"/>
      <c r="H7" s="124"/>
      <c r="I7" s="124"/>
      <c r="J7" s="125"/>
    </row>
    <row r="8" spans="2:13" s="11" customFormat="1" ht="19.5" customHeight="1" x14ac:dyDescent="0.25">
      <c r="B8" s="61" t="s">
        <v>7</v>
      </c>
      <c r="C8" s="94" t="s">
        <v>24</v>
      </c>
      <c r="D8" s="120"/>
      <c r="E8" s="120"/>
      <c r="F8" s="120"/>
      <c r="G8" s="120"/>
      <c r="H8" s="120"/>
      <c r="I8" s="120"/>
      <c r="J8" s="81"/>
    </row>
    <row r="9" spans="2:13" s="11" customFormat="1" ht="19.5" customHeight="1" x14ac:dyDescent="0.25">
      <c r="B9" s="74" t="s">
        <v>8</v>
      </c>
      <c r="C9" s="128" t="s">
        <v>9</v>
      </c>
      <c r="D9" s="120"/>
      <c r="E9" s="120"/>
      <c r="F9" s="120"/>
      <c r="G9" s="120"/>
      <c r="H9" s="120"/>
      <c r="I9" s="120"/>
      <c r="J9" s="82"/>
      <c r="L9" s="11" t="str">
        <f>"("&amp;'    Anual    '!O7&amp;")"</f>
        <v>(Já seleccionado – Com idade inferior a 65 anos)</v>
      </c>
    </row>
    <row r="10" spans="2:13" s="11" customFormat="1" ht="30" customHeight="1" x14ac:dyDescent="0.25">
      <c r="B10" s="63" t="s">
        <v>41</v>
      </c>
      <c r="C10" s="96" t="s">
        <v>47</v>
      </c>
      <c r="D10" s="120"/>
      <c r="E10" s="120"/>
      <c r="F10" s="120"/>
      <c r="G10" s="120"/>
      <c r="H10" s="120"/>
      <c r="I10" s="120"/>
      <c r="J10" s="34">
        <f>(J8-J9)*25%</f>
        <v>0</v>
      </c>
      <c r="L10" s="19" t="str">
        <f>'    Anual    '!N7</f>
        <v/>
      </c>
    </row>
    <row r="11" spans="2:13" s="11" customFormat="1" ht="19.5" hidden="1" customHeight="1" x14ac:dyDescent="0.25">
      <c r="B11" s="63" t="s">
        <v>25</v>
      </c>
      <c r="C11" s="64" t="s">
        <v>26</v>
      </c>
      <c r="D11" s="64"/>
      <c r="E11" s="64"/>
      <c r="F11" s="64"/>
      <c r="G11" s="64"/>
      <c r="H11" s="64"/>
      <c r="I11" s="64"/>
      <c r="J11" s="34">
        <f>SUM(J9:J10)</f>
        <v>0</v>
      </c>
    </row>
    <row r="12" spans="2:13" s="11" customFormat="1" ht="19.5" customHeight="1" x14ac:dyDescent="0.25">
      <c r="B12" s="63" t="s">
        <v>36</v>
      </c>
      <c r="C12" s="98" t="s">
        <v>40</v>
      </c>
      <c r="D12" s="120"/>
      <c r="E12" s="120"/>
      <c r="F12" s="120"/>
      <c r="G12" s="120"/>
      <c r="H12" s="120"/>
      <c r="I12" s="120"/>
      <c r="J12" s="47">
        <f>J8-J11</f>
        <v>0</v>
      </c>
    </row>
    <row r="13" spans="2:13" s="11" customFormat="1" ht="7.5" customHeight="1" x14ac:dyDescent="0.25">
      <c r="B13" s="32"/>
      <c r="C13" s="32"/>
      <c r="D13" s="32"/>
      <c r="E13" s="32"/>
      <c r="F13" s="32"/>
      <c r="G13" s="32"/>
      <c r="H13" s="32"/>
      <c r="I13" s="32"/>
      <c r="J13" s="36"/>
    </row>
    <row r="14" spans="2:13" s="11" customFormat="1" ht="31.5" x14ac:dyDescent="0.25">
      <c r="B14" s="32"/>
      <c r="C14" s="32"/>
      <c r="D14" s="37" t="s">
        <v>14</v>
      </c>
      <c r="E14" s="37" t="s">
        <v>15</v>
      </c>
      <c r="F14" s="37" t="s">
        <v>16</v>
      </c>
      <c r="G14" s="38" t="s">
        <v>17</v>
      </c>
      <c r="H14" s="38" t="s">
        <v>18</v>
      </c>
      <c r="I14" s="38" t="s">
        <v>19</v>
      </c>
      <c r="J14" s="51"/>
    </row>
    <row r="15" spans="2:13" s="11" customFormat="1" ht="16.5" x14ac:dyDescent="0.25">
      <c r="B15" s="32"/>
      <c r="C15" s="32"/>
      <c r="D15" s="39">
        <v>0</v>
      </c>
      <c r="E15" s="39">
        <f>'    Anual    '!E16/4</f>
        <v>36000</v>
      </c>
      <c r="F15" s="40">
        <v>0</v>
      </c>
      <c r="G15" s="41">
        <f>MIN(E15,J12)</f>
        <v>0</v>
      </c>
      <c r="H15" s="41">
        <f>ROUNDDOWN(G15*F15,2)</f>
        <v>0</v>
      </c>
      <c r="I15" s="41">
        <f>H15</f>
        <v>0</v>
      </c>
      <c r="J15" s="51"/>
    </row>
    <row r="16" spans="2:13" s="11" customFormat="1" ht="16.5" x14ac:dyDescent="0.25">
      <c r="B16" s="32"/>
      <c r="C16" s="32"/>
      <c r="D16" s="39">
        <f>E15+0.01</f>
        <v>36000.01</v>
      </c>
      <c r="E16" s="39">
        <f>'    Anual    '!E17/4</f>
        <v>41000</v>
      </c>
      <c r="F16" s="40">
        <v>7.0000000000000007E-2</v>
      </c>
      <c r="G16" s="41">
        <f>MIN(E16-E15,$J$12-SUM($G$15:G15))</f>
        <v>0</v>
      </c>
      <c r="H16" s="41">
        <f>IF(G16=0,0,ROUNDDOWN(G16*F16-(H15-G15*F15),2))</f>
        <v>0</v>
      </c>
      <c r="I16" s="41">
        <f t="shared" ref="I16:I21" si="0">IF(H16=0,0,I15+H16)</f>
        <v>0</v>
      </c>
      <c r="J16" s="51"/>
    </row>
    <row r="17" spans="2:11" s="11" customFormat="1" ht="16.5" x14ac:dyDescent="0.25">
      <c r="B17" s="32"/>
      <c r="C17" s="32"/>
      <c r="D17" s="39">
        <f>E16+0.01</f>
        <v>41000.01</v>
      </c>
      <c r="E17" s="39">
        <f>'    Anual    '!E18/4</f>
        <v>46000</v>
      </c>
      <c r="F17" s="40">
        <v>0.08</v>
      </c>
      <c r="G17" s="41">
        <f>MIN(E17-E16,$J$12-SUM($G$15:G16))</f>
        <v>0</v>
      </c>
      <c r="H17" s="41">
        <f>IF(G17=0,0,ROUNDDOWN(G17*F17-(SUM($H$16:H16)-G16*F16),2))</f>
        <v>0</v>
      </c>
      <c r="I17" s="41">
        <f t="shared" si="0"/>
        <v>0</v>
      </c>
      <c r="J17" s="51"/>
    </row>
    <row r="18" spans="2:11" s="11" customFormat="1" ht="16.5" x14ac:dyDescent="0.25">
      <c r="B18" s="32"/>
      <c r="C18" s="32"/>
      <c r="D18" s="39">
        <f>E17+0.01</f>
        <v>46000.01</v>
      </c>
      <c r="E18" s="39">
        <f>'    Anual    '!E19/4</f>
        <v>56000</v>
      </c>
      <c r="F18" s="40">
        <v>0.09</v>
      </c>
      <c r="G18" s="41">
        <f>MIN(E18-E17,$J$12-SUM($G$15:G17))</f>
        <v>0</v>
      </c>
      <c r="H18" s="41">
        <f>IF(G18=0,0,ROUNDDOWN(G18*F18-(SUM($H$16:H17)-G17*F17-G16*F16),2))</f>
        <v>0</v>
      </c>
      <c r="I18" s="41">
        <f t="shared" si="0"/>
        <v>0</v>
      </c>
      <c r="J18" s="51"/>
    </row>
    <row r="19" spans="2:11" s="11" customFormat="1" ht="16.5" x14ac:dyDescent="0.25">
      <c r="B19" s="32"/>
      <c r="C19" s="32"/>
      <c r="D19" s="39">
        <f>E18+0.01</f>
        <v>56000.01</v>
      </c>
      <c r="E19" s="39">
        <f>'    Anual    '!E20/4</f>
        <v>76000</v>
      </c>
      <c r="F19" s="40">
        <v>0.1</v>
      </c>
      <c r="G19" s="41">
        <f>MIN(E19-E18,$J$12-SUM($G$15:G18))</f>
        <v>0</v>
      </c>
      <c r="H19" s="41">
        <f>IF(G19=0,0,ROUNDDOWN(G19*F19-(SUM($H$16:H18)-G18*F18-G17*F17-G16*F16),2))</f>
        <v>0</v>
      </c>
      <c r="I19" s="41">
        <f t="shared" si="0"/>
        <v>0</v>
      </c>
      <c r="J19" s="51"/>
    </row>
    <row r="20" spans="2:11" s="11" customFormat="1" ht="16.5" x14ac:dyDescent="0.25">
      <c r="B20" s="32"/>
      <c r="C20" s="32"/>
      <c r="D20" s="39">
        <f>E19+0.01</f>
        <v>76000.009999999995</v>
      </c>
      <c r="E20" s="39">
        <f>'    Anual    '!E21/4</f>
        <v>106000</v>
      </c>
      <c r="F20" s="40">
        <v>0.11</v>
      </c>
      <c r="G20" s="41">
        <f>MIN(E20-E19,$J$12-SUM($G$15:G19))</f>
        <v>0</v>
      </c>
      <c r="H20" s="41">
        <f>IF(G20=0,0, ROUNDDOWN(G20*F20-(SUM($H$16:H19)-G19*F19-G18*F18-G17*F17-G16*F16),2))</f>
        <v>0</v>
      </c>
      <c r="I20" s="41">
        <f t="shared" si="0"/>
        <v>0</v>
      </c>
      <c r="J20" s="51"/>
    </row>
    <row r="21" spans="2:11" s="11" customFormat="1" ht="16.5" x14ac:dyDescent="0.25">
      <c r="B21" s="32"/>
      <c r="C21" s="32"/>
      <c r="D21" s="101" t="str">
        <f>"acima de " &amp; FIXED(E20,2,FALSE)</f>
        <v>acima de 106,000.00</v>
      </c>
      <c r="E21" s="126"/>
      <c r="F21" s="40">
        <v>0.12</v>
      </c>
      <c r="G21" s="41">
        <f>$J$12-SUM($G$15:G20)</f>
        <v>0</v>
      </c>
      <c r="H21" s="41">
        <f>IF(G21=0,0,ROUNDDOWN(G21*F21-(SUM($H$16:H20)-G20*F20-G19*F19-G18*F18-G17*F17-G16*F16),2))</f>
        <v>0</v>
      </c>
      <c r="I21" s="41">
        <f t="shared" si="0"/>
        <v>0</v>
      </c>
      <c r="J21" s="51"/>
    </row>
    <row r="22" spans="2:11" s="11" customFormat="1" ht="7.5" customHeight="1" x14ac:dyDescent="0.25">
      <c r="B22" s="42"/>
      <c r="C22" s="42"/>
      <c r="D22" s="56"/>
      <c r="E22" s="57"/>
      <c r="F22" s="58"/>
      <c r="G22" s="59"/>
      <c r="H22" s="60"/>
      <c r="I22" s="60"/>
      <c r="J22" s="55"/>
    </row>
    <row r="23" spans="2:11" s="11" customFormat="1" ht="19.5" customHeight="1" x14ac:dyDescent="0.25">
      <c r="B23" s="63" t="s">
        <v>31</v>
      </c>
      <c r="C23" s="98" t="s">
        <v>27</v>
      </c>
      <c r="D23" s="120"/>
      <c r="E23" s="120"/>
      <c r="F23" s="120"/>
      <c r="G23" s="120"/>
      <c r="H23" s="120"/>
      <c r="I23" s="120"/>
      <c r="J23" s="47">
        <f>ROUNDDOWN(MAX(I15:I21),2)</f>
        <v>0</v>
      </c>
    </row>
    <row r="24" spans="2:11" s="11" customFormat="1" ht="39" customHeight="1" thickBot="1" x14ac:dyDescent="0.3">
      <c r="B24" s="67" t="s">
        <v>37</v>
      </c>
      <c r="C24" s="99" t="s">
        <v>34</v>
      </c>
      <c r="D24" s="127"/>
      <c r="E24" s="127"/>
      <c r="F24" s="127"/>
      <c r="G24" s="127"/>
      <c r="H24" s="127"/>
      <c r="I24" s="127"/>
      <c r="J24" s="48">
        <f>ROUNDDOWN(J23*30%,2)</f>
        <v>0</v>
      </c>
    </row>
    <row r="25" spans="2:11" s="11" customFormat="1" ht="19.5" customHeight="1" thickBot="1" x14ac:dyDescent="0.3">
      <c r="B25" s="68" t="s">
        <v>38</v>
      </c>
      <c r="C25" s="103" t="s">
        <v>39</v>
      </c>
      <c r="D25" s="104"/>
      <c r="E25" s="104"/>
      <c r="F25" s="104"/>
      <c r="G25" s="104"/>
      <c r="H25" s="104"/>
      <c r="I25" s="104"/>
      <c r="J25" s="49">
        <f>ROUNDUP(J23-J24,0)</f>
        <v>0</v>
      </c>
    </row>
    <row r="26" spans="2:11" s="77" customFormat="1" ht="16.5" thickTop="1" x14ac:dyDescent="0.25">
      <c r="B26" s="65" t="s">
        <v>3</v>
      </c>
      <c r="C26" s="108" t="s">
        <v>20</v>
      </c>
      <c r="D26" s="108"/>
      <c r="E26" s="108"/>
      <c r="F26" s="108"/>
      <c r="G26" s="108"/>
      <c r="H26" s="108"/>
      <c r="I26" s="108"/>
      <c r="J26" s="108"/>
    </row>
    <row r="27" spans="2:11" s="77" customFormat="1" ht="16.5" thickBot="1" x14ac:dyDescent="0.3">
      <c r="B27" s="66" t="s">
        <v>4</v>
      </c>
      <c r="C27" s="109" t="s">
        <v>21</v>
      </c>
      <c r="D27" s="109"/>
      <c r="E27" s="109"/>
      <c r="F27" s="109"/>
      <c r="G27" s="109"/>
      <c r="H27" s="109"/>
      <c r="I27" s="109"/>
      <c r="J27" s="109"/>
    </row>
    <row r="28" spans="2:11" s="11" customFormat="1" ht="15.75" x14ac:dyDescent="0.25">
      <c r="B28" s="92" t="s">
        <v>23</v>
      </c>
      <c r="C28" s="93"/>
      <c r="D28" s="93"/>
      <c r="E28" s="93"/>
      <c r="F28" s="93"/>
      <c r="G28" s="93"/>
      <c r="H28" s="93"/>
      <c r="I28" s="93"/>
      <c r="J28" s="93"/>
    </row>
    <row r="29" spans="2:11" ht="16.5" hidden="1" x14ac:dyDescent="0.25">
      <c r="B29" s="6" t="s">
        <v>0</v>
      </c>
      <c r="C29" s="7"/>
      <c r="D29" s="7"/>
      <c r="E29" s="7"/>
      <c r="F29" s="7"/>
      <c r="G29" s="7"/>
      <c r="H29" s="7"/>
      <c r="I29" s="7"/>
      <c r="J29" s="7"/>
      <c r="K29" s="4" t="e">
        <f>#REF!-G30</f>
        <v>#REF!</v>
      </c>
    </row>
    <row r="30" spans="2:11" ht="16.5" hidden="1" x14ac:dyDescent="0.25">
      <c r="B30" s="7"/>
      <c r="C30" s="7" t="s">
        <v>2</v>
      </c>
      <c r="D30" s="7"/>
      <c r="E30" s="7"/>
      <c r="F30" s="8">
        <v>0.25</v>
      </c>
      <c r="G30" s="9" t="e">
        <f>#REF!*F30</f>
        <v>#REF!</v>
      </c>
      <c r="H30" s="7"/>
      <c r="I30" s="7"/>
      <c r="J30" s="7"/>
    </row>
    <row r="31" spans="2:11" ht="16.5" hidden="1" x14ac:dyDescent="0.25">
      <c r="B31" s="6" t="s">
        <v>1</v>
      </c>
      <c r="C31" s="7"/>
      <c r="D31" s="7"/>
      <c r="E31" s="7"/>
      <c r="F31" s="7"/>
      <c r="G31" s="7"/>
      <c r="H31" s="7"/>
      <c r="I31" s="7"/>
      <c r="J31" s="7"/>
      <c r="K31" s="4" t="e">
        <f>K29/12</f>
        <v>#REF!</v>
      </c>
    </row>
    <row r="32" spans="2:11" ht="16.5" hidden="1" x14ac:dyDescent="0.25"/>
    <row r="33" ht="16.5" hidden="1" x14ac:dyDescent="0.25"/>
    <row r="34" ht="16.5" hidden="1" x14ac:dyDescent="0.25"/>
    <row r="35" ht="16.5" hidden="1" x14ac:dyDescent="0.25"/>
    <row r="36" ht="16.5" hidden="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sheetData>
  <sheetProtection sheet="1" objects="1" scenarios="1" selectLockedCells="1"/>
  <customSheetViews>
    <customSheetView guid="{AA3E4D5E-3A47-45A8-BB43-466E3FB86B12}" showGridLines="0" showRowCol="0" fitToPage="1" hiddenRows="1" hiddenColumns="1" showRuler="0">
      <selection activeCell="J5" sqref="J5"/>
      <pageMargins left="0.74803149606299213" right="0.74803149606299213" top="0.98425196850393704" bottom="0.98425196850393704" header="0.51181102362204722" footer="0.51181102362204722"/>
      <printOptions horizontalCentered="1" verticalCentered="1"/>
      <pageSetup paperSize="9" orientation="landscape" r:id="rId1"/>
      <headerFooter alignWithMargins="0"/>
    </customSheetView>
  </customSheetViews>
  <mergeCells count="18">
    <mergeCell ref="B2:J2"/>
    <mergeCell ref="D5:J5"/>
    <mergeCell ref="B3:J3"/>
    <mergeCell ref="D4:I4"/>
    <mergeCell ref="C8:I8"/>
    <mergeCell ref="C27:J27"/>
    <mergeCell ref="B28:J28"/>
    <mergeCell ref="D6:E6"/>
    <mergeCell ref="F6:I6"/>
    <mergeCell ref="D7:J7"/>
    <mergeCell ref="C26:J26"/>
    <mergeCell ref="C10:I10"/>
    <mergeCell ref="D21:E21"/>
    <mergeCell ref="C24:I24"/>
    <mergeCell ref="C25:I25"/>
    <mergeCell ref="C9:I9"/>
    <mergeCell ref="C12:I12"/>
    <mergeCell ref="C23:I23"/>
  </mergeCells>
  <phoneticPr fontId="1" type="noConversion"/>
  <dataValidations xWindow="733" yWindow="224" count="4">
    <dataValidation type="decimal" allowBlank="1" showInputMessage="1" showErrorMessage="1" errorTitle="Atenção:" error="O valor não pode ser superior ao rendimento total." promptTitle="Matéria não colectável" prompt="O valor não pode ser superior ao rendimento total." sqref="J9" xr:uid="{00000000-0002-0000-0100-000000000000}">
      <formula1>0</formula1>
      <formula2>J8</formula2>
    </dataValidation>
    <dataValidation operator="greaterThanOrEqual" allowBlank="1" promptTitle="Ano do cálculo:" prompt="Insira primeiramente o “Ano do cálculo” na página de “Cálculo mensal”" sqref="J4" xr:uid="{00000000-0002-0000-0100-000001000000}"/>
    <dataValidation type="decimal" allowBlank="1" showInputMessage="1" showErrorMessage="1" errorTitle="Atenção:" error="1. O valor a inserir deve ser um valor inteiro._x000a_2. O valor não pode ser inferior à matéria não colectável trimestral." promptTitle="Rendimento trimestral" prompt="Atenção:_x000a_O valor deve incluir o rendimento trimestral que não constitua matéria colectável._x000a_" sqref="J8" xr:uid="{00000000-0002-0000-0100-000002000000}">
      <formula1>J9</formula1>
      <formula2>999999999999</formula2>
    </dataValidation>
    <dataValidation allowBlank="1" showInputMessage="1" showErrorMessage="1" promptTitle="Insira a data de nascimento :" prompt="Insira primeiramente a “Data de nascimento” na página de “Cálculo mensal”" sqref="J6" xr:uid="{00000000-0002-0000-0100-000003000000}"/>
  </dataValidations>
  <hyperlinks>
    <hyperlink ref="B28" r:id="rId2" display="有關房屋稅之詳細資料，請瀏覽財政局網 http://www.dsf.gov.mo" xr:uid="{00000000-0004-0000-0100-000000000000}"/>
  </hyperlinks>
  <printOptions horizontalCentered="1" verticalCentered="1"/>
  <pageMargins left="0.74803149606299213" right="0.74803149606299213" top="0.98425196850393704" bottom="0.98425196850393704" header="0.51181102362204722" footer="0.51181102362204722"/>
  <pageSetup paperSize="9" orientation="landscape" cellComments="asDisplayed" r:id="rId3"/>
  <headerFooter alignWithMargins="0"/>
  <drawing r:id="rId4"/>
  <legacyDrawing r:id="rId5"/>
  <picture r:id="rId6"/>
  <mc:AlternateContent xmlns:mc="http://schemas.openxmlformats.org/markup-compatibility/2006">
    <mc:Choice Requires="x14">
      <controls>
        <mc:AlternateContent xmlns:mc="http://schemas.openxmlformats.org/markup-compatibility/2006">
          <mc:Choice Requires="x14">
            <control shapeId="2082" r:id="rId7" name="Option Button 34">
              <controlPr defaultSize="0" autoFill="0" autoLine="0" autoPict="0">
                <anchor moveWithCells="1">
                  <from>
                    <xdr:col>1</xdr:col>
                    <xdr:colOff>38100</xdr:colOff>
                    <xdr:row>4</xdr:row>
                    <xdr:rowOff>47625</xdr:rowOff>
                  </from>
                  <to>
                    <xdr:col>2</xdr:col>
                    <xdr:colOff>95250</xdr:colOff>
                    <xdr:row>4</xdr:row>
                    <xdr:rowOff>228600</xdr:rowOff>
                  </to>
                </anchor>
              </controlPr>
            </control>
          </mc:Choice>
        </mc:AlternateContent>
        <mc:AlternateContent xmlns:mc="http://schemas.openxmlformats.org/markup-compatibility/2006">
          <mc:Choice Requires="x14">
            <control shapeId="2083" r:id="rId8" name="Option Button 35">
              <controlPr defaultSize="0" autoFill="0" autoLine="0" autoPict="0">
                <anchor moveWithCells="1">
                  <from>
                    <xdr:col>1</xdr:col>
                    <xdr:colOff>38100</xdr:colOff>
                    <xdr:row>5</xdr:row>
                    <xdr:rowOff>152400</xdr:rowOff>
                  </from>
                  <to>
                    <xdr:col>2</xdr:col>
                    <xdr:colOff>76200</xdr:colOff>
                    <xdr:row>5</xdr:row>
                    <xdr:rowOff>361950</xdr:rowOff>
                  </to>
                </anchor>
              </controlPr>
            </control>
          </mc:Choice>
        </mc:AlternateContent>
        <mc:AlternateContent xmlns:mc="http://schemas.openxmlformats.org/markup-compatibility/2006">
          <mc:Choice Requires="x14">
            <control shapeId="2084" r:id="rId9" name="Option Button 36">
              <controlPr defaultSize="0" autoFill="0" autoLine="0" autoPict="0">
                <anchor moveWithCells="1">
                  <from>
                    <xdr:col>1</xdr:col>
                    <xdr:colOff>38100</xdr:colOff>
                    <xdr:row>6</xdr:row>
                    <xdr:rowOff>28575</xdr:rowOff>
                  </from>
                  <to>
                    <xdr:col>2</xdr:col>
                    <xdr:colOff>85725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39997558519241921"/>
    <pageSetUpPr fitToPage="1"/>
  </sheetPr>
  <dimension ref="A1:IN32"/>
  <sheetViews>
    <sheetView showGridLines="0" showRowColHeaders="0" zoomScaleNormal="100" workbookViewId="0">
      <selection activeCell="J9" sqref="J9"/>
    </sheetView>
  </sheetViews>
  <sheetFormatPr defaultColWidth="0" defaultRowHeight="16.5" zeroHeight="1" x14ac:dyDescent="0.25"/>
  <cols>
    <col min="1" max="1" width="0.875" style="1" customWidth="1"/>
    <col min="2" max="2" width="2.75" style="1" customWidth="1"/>
    <col min="3" max="3" width="3.625" style="1" customWidth="1"/>
    <col min="4" max="4" width="18.375" style="1" customWidth="1"/>
    <col min="5" max="5" width="20.625" style="1" customWidth="1"/>
    <col min="6" max="6" width="9.125" style="1" customWidth="1"/>
    <col min="7" max="9" width="15.625" style="1" customWidth="1"/>
    <col min="10" max="10" width="19.75" style="1" customWidth="1"/>
    <col min="11" max="11" width="1.75" style="1" customWidth="1"/>
    <col min="12" max="14" width="11" style="1" hidden="1" customWidth="1"/>
    <col min="15" max="15" width="15.5" style="1" hidden="1" customWidth="1"/>
    <col min="16" max="16" width="26.25" style="1" hidden="1" customWidth="1"/>
    <col min="17" max="16384" width="11" style="1" hidden="1"/>
  </cols>
  <sheetData>
    <row r="1" spans="2:248" ht="25.5" x14ac:dyDescent="0.4">
      <c r="B1" s="25" t="str">
        <f>IF(J5="","Simulação do cálculo do Imposto Profissional anual para ","Simulação do cálculo do Imposto Profissional anual para "&amp;J5)</f>
        <v>Simulação do cálculo do Imposto Profissional anual para 2026</v>
      </c>
      <c r="C1" s="2"/>
      <c r="D1" s="2"/>
      <c r="E1" s="2"/>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row>
    <row r="2" spans="2:248" s="5" customFormat="1" ht="22.5" customHeight="1" x14ac:dyDescent="0.25">
      <c r="B2" s="135" t="str">
        <f>"("&amp;O7&amp;")"</f>
        <v>(Já seleccionado – Com idade inferior a 65 anos)</v>
      </c>
      <c r="C2" s="135"/>
      <c r="D2" s="135"/>
      <c r="E2" s="135"/>
      <c r="F2" s="135"/>
      <c r="G2" s="135"/>
      <c r="H2" s="135"/>
      <c r="I2" s="135"/>
      <c r="J2" s="135"/>
    </row>
    <row r="3" spans="2:248" s="5" customFormat="1" ht="22.5" customHeight="1" x14ac:dyDescent="0.25">
      <c r="B3" s="140" t="str">
        <f>N7</f>
        <v/>
      </c>
      <c r="C3" s="140"/>
      <c r="D3" s="140"/>
      <c r="E3" s="140"/>
      <c r="F3" s="140"/>
      <c r="G3" s="140"/>
      <c r="H3" s="140"/>
      <c r="I3" s="140"/>
      <c r="J3" s="140"/>
      <c r="M3" s="5">
        <v>144000</v>
      </c>
      <c r="N3" s="5">
        <v>198000</v>
      </c>
      <c r="O3" s="5">
        <f>M3*2</f>
        <v>288000</v>
      </c>
      <c r="P3" s="5">
        <f>N3*2</f>
        <v>396000</v>
      </c>
    </row>
    <row r="4" spans="2:248" s="5" customFormat="1" ht="51" customHeight="1" x14ac:dyDescent="0.25">
      <c r="B4" s="86"/>
      <c r="C4" s="86"/>
      <c r="D4" s="121" t="s">
        <v>48</v>
      </c>
      <c r="E4" s="122"/>
      <c r="F4" s="122"/>
      <c r="G4" s="122"/>
      <c r="H4" s="122"/>
      <c r="I4" s="123"/>
      <c r="J4" s="89"/>
      <c r="L4" s="91">
        <v>2</v>
      </c>
    </row>
    <row r="5" spans="2:248" s="5" customFormat="1" ht="20.25" customHeight="1" x14ac:dyDescent="0.25">
      <c r="B5" s="26"/>
      <c r="C5" s="26"/>
      <c r="D5" s="118" t="s">
        <v>6</v>
      </c>
      <c r="E5" s="119"/>
      <c r="F5" s="119"/>
      <c r="G5" s="119"/>
      <c r="H5" s="119"/>
      <c r="I5" s="119"/>
      <c r="J5" s="50">
        <f>M5</f>
        <v>2026</v>
      </c>
      <c r="M5" s="5">
        <f>IF('    Mensal    '!J5&gt;2018,'    Mensal    '!J5,"")</f>
        <v>2026</v>
      </c>
    </row>
    <row r="6" spans="2:248" s="5" customFormat="1" ht="20.25" customHeight="1" x14ac:dyDescent="0.25">
      <c r="B6" s="32"/>
      <c r="C6" s="32"/>
      <c r="D6" s="110" t="str">
        <f>M24</f>
        <v>Com idade inferior a 65 anos</v>
      </c>
      <c r="E6" s="111"/>
      <c r="F6" s="111"/>
      <c r="G6" s="111"/>
      <c r="H6" s="111"/>
      <c r="I6" s="111"/>
      <c r="J6" s="112"/>
      <c r="M6" s="5" t="str">
        <f>IF('    Mensal    '!J7&gt;1900/1/1,'    Mensal    '!J7,"")</f>
        <v/>
      </c>
    </row>
    <row r="7" spans="2:248" s="5" customFormat="1" ht="39" customHeight="1" x14ac:dyDescent="0.25">
      <c r="B7" s="32"/>
      <c r="C7" s="32"/>
      <c r="D7" s="139" t="str">
        <f ca="1">N24</f>
        <v>Atingiu a idade de 65 anos no ano de 2026</v>
      </c>
      <c r="E7" s="96"/>
      <c r="F7" s="114" t="str">
        <f ca="1">N27</f>
        <v/>
      </c>
      <c r="G7" s="115"/>
      <c r="H7" s="115"/>
      <c r="I7" s="115"/>
      <c r="J7" s="52" t="str">
        <f>M6</f>
        <v/>
      </c>
      <c r="M7" s="5">
        <f>IF(AND(L9=2,J7=""),1,IF(AND(L9=2,J7&lt;&gt;""),0,IF(OR(L9=1,L9=3),3,4)))</f>
        <v>3</v>
      </c>
      <c r="N7" s="15" t="str">
        <f>IF('    Anual    '!M7=1,"Não foi indicada a data de nascimento, o imposto só pode ser calculado à taxa aplicável às pessoas com idade inferior a 65 anos.",IF(AND('    Anual    '!M7=0,'    Anual    '!M13&lt;65),"Ainda não atingiu a idade de 65 anos no ano do cálculo, o imposto só pode ser calculado à taxa aplicável às pessoas com idade inferior a 65 anos.",IF(AND('    Anual    '!M7=0,'    Anual    '!M13&gt;65),"Já atingiu a idade de 65 anos no ano do cálculo, o imposto pode ser calculado à taxa aplicável às pessoas com idade superior a 65 anos.","")))</f>
        <v/>
      </c>
      <c r="O7" s="5" t="str">
        <f>IF('    Anual    '!L9=1,"Já seleccionado – Com idade inferior a 65 anos",IF(AND('    Anual    '!L9=2,'    Anual    '!M7=0),"Já seleccionado – Atingiu a idade de 65 anos no ano de "&amp;M15&amp;", a data de nascimento é "&amp;'    Anual    '!M19&amp;"/"&amp;'    Anual    '!N19&amp;"/"&amp;'    Anual    '!O19,IF(AND('    Anual    '!L9=2,'    Anual    '!M7=1),"Já seleccionado – Atingiu a idade de 65 anos no ano de "&amp;M15&amp;" mais não indicou a data de nascimento!",IF('    Anual    '!L9=3,"Já seleccionado – Com idade superior a 65 anos / Pessoas com invalide"))))</f>
        <v>Já seleccionado – Com idade inferior a 65 anos</v>
      </c>
    </row>
    <row r="8" spans="2:248" s="5" customFormat="1" ht="20.25" customHeight="1" x14ac:dyDescent="0.25">
      <c r="B8" s="73"/>
      <c r="C8" s="30"/>
      <c r="D8" s="116" t="str">
        <f>O24</f>
        <v>Com idade superior a 65 anos/Pessoas com invalide</v>
      </c>
      <c r="E8" s="98"/>
      <c r="F8" s="98"/>
      <c r="G8" s="98"/>
      <c r="H8" s="98"/>
      <c r="I8" s="98"/>
      <c r="J8" s="117"/>
      <c r="N8" s="15"/>
    </row>
    <row r="9" spans="2:248" s="11" customFormat="1" ht="20.25" customHeight="1" x14ac:dyDescent="0.25">
      <c r="B9" s="61" t="s">
        <v>7</v>
      </c>
      <c r="C9" s="94" t="s">
        <v>51</v>
      </c>
      <c r="D9" s="120"/>
      <c r="E9" s="120"/>
      <c r="F9" s="120"/>
      <c r="G9" s="120"/>
      <c r="H9" s="120"/>
      <c r="I9" s="120"/>
      <c r="J9" s="83"/>
      <c r="L9" s="20">
        <v>1</v>
      </c>
      <c r="M9" s="11">
        <f>IF($L$9=1,M3,IF(AND($M$7=0,$M$13=65),N3-(M21*(1-$O$18)),IF(AND($M$7=0,$M$13&lt;65),M3,IF(AND($M$7=0,$M$13&gt;65),N3,IF($M$7=1,M3,IF($L$9=3,N3,0))))))</f>
        <v>144000</v>
      </c>
      <c r="N9" s="11">
        <f>IF($L$9=1,O3,IF(AND($M$7=0,$M$13=65),P3-(N21*(1-$O$18)),IF(AND($M$7=0,$M$13&lt;65),O3,IF(AND($M$7=0,$M$13&gt;65),P3,IF($M$7=1,O3,IF($L$9=3,P3,0))))))</f>
        <v>288000</v>
      </c>
    </row>
    <row r="10" spans="2:248" s="11" customFormat="1" ht="20.25" customHeight="1" x14ac:dyDescent="0.25">
      <c r="B10" s="74" t="s">
        <v>8</v>
      </c>
      <c r="C10" s="128" t="s">
        <v>50</v>
      </c>
      <c r="D10" s="120"/>
      <c r="E10" s="120"/>
      <c r="F10" s="120"/>
      <c r="G10" s="120"/>
      <c r="H10" s="120"/>
      <c r="I10" s="120"/>
      <c r="J10" s="84"/>
    </row>
    <row r="11" spans="2:248" s="11" customFormat="1" ht="20.25" customHeight="1" x14ac:dyDescent="0.25">
      <c r="B11" s="63" t="s">
        <v>10</v>
      </c>
      <c r="C11" s="96" t="s">
        <v>47</v>
      </c>
      <c r="D11" s="120"/>
      <c r="E11" s="120"/>
      <c r="F11" s="120"/>
      <c r="G11" s="120"/>
      <c r="H11" s="120"/>
      <c r="I11" s="120"/>
      <c r="J11" s="69">
        <f>(J9-J10)*25%</f>
        <v>0</v>
      </c>
      <c r="K11" s="90"/>
      <c r="N11" s="14">
        <f ca="1">IF(J5="",DATE(YEAR(TODAY()),12,31),DATE(J5,12,31))</f>
        <v>46387</v>
      </c>
    </row>
    <row r="12" spans="2:248" s="11" customFormat="1" ht="19.5" hidden="1" customHeight="1" x14ac:dyDescent="0.25">
      <c r="B12" s="63" t="s">
        <v>25</v>
      </c>
      <c r="C12" s="64" t="s">
        <v>28</v>
      </c>
      <c r="D12" s="64"/>
      <c r="E12" s="64"/>
      <c r="F12" s="64"/>
      <c r="G12" s="64"/>
      <c r="H12" s="64"/>
      <c r="I12" s="64"/>
      <c r="J12" s="69">
        <f>SUM(J10:J11)</f>
        <v>0</v>
      </c>
      <c r="N12" s="14"/>
    </row>
    <row r="13" spans="2:248" s="11" customFormat="1" ht="20.25" customHeight="1" x14ac:dyDescent="0.25">
      <c r="B13" s="63" t="s">
        <v>30</v>
      </c>
      <c r="C13" s="98" t="s">
        <v>52</v>
      </c>
      <c r="D13" s="120"/>
      <c r="E13" s="120"/>
      <c r="F13" s="120"/>
      <c r="G13" s="120"/>
      <c r="H13" s="120"/>
      <c r="I13" s="120"/>
      <c r="J13" s="70">
        <f>J9-J10-J11</f>
        <v>0</v>
      </c>
      <c r="M13" s="11">
        <f>IF(J7="",0,DATEDIF(J7,N11,"Y"))</f>
        <v>0</v>
      </c>
    </row>
    <row r="14" spans="2:248" s="11" customFormat="1" ht="7.5" customHeight="1" x14ac:dyDescent="0.25">
      <c r="B14" s="32"/>
      <c r="C14" s="32"/>
      <c r="D14" s="32"/>
      <c r="E14" s="32"/>
      <c r="F14" s="32"/>
      <c r="G14" s="32"/>
      <c r="H14" s="32"/>
      <c r="I14" s="32"/>
      <c r="J14" s="71"/>
      <c r="V14" s="16"/>
    </row>
    <row r="15" spans="2:248" s="11" customFormat="1" ht="31.5" x14ac:dyDescent="0.25">
      <c r="B15" s="32"/>
      <c r="C15" s="32"/>
      <c r="D15" s="37" t="s">
        <v>14</v>
      </c>
      <c r="E15" s="37" t="s">
        <v>15</v>
      </c>
      <c r="F15" s="37" t="s">
        <v>16</v>
      </c>
      <c r="G15" s="38" t="s">
        <v>17</v>
      </c>
      <c r="H15" s="38" t="s">
        <v>18</v>
      </c>
      <c r="I15" s="38" t="s">
        <v>19</v>
      </c>
      <c r="J15" s="32"/>
      <c r="M15" s="16">
        <f ca="1">IF(J5="",YEAR(TODAY()),J5)</f>
        <v>2026</v>
      </c>
      <c r="N15" s="11">
        <v>1</v>
      </c>
      <c r="O15" s="11">
        <v>1</v>
      </c>
      <c r="V15" s="16"/>
    </row>
    <row r="16" spans="2:248" s="11" customFormat="1" ht="16.5" customHeight="1" x14ac:dyDescent="0.25">
      <c r="B16" s="32"/>
      <c r="C16" s="32"/>
      <c r="D16" s="39">
        <v>0</v>
      </c>
      <c r="E16" s="39">
        <f>IF(L4=1,N9,M9)</f>
        <v>144000</v>
      </c>
      <c r="F16" s="40">
        <v>0</v>
      </c>
      <c r="G16" s="41">
        <f>MIN(E16,J13)</f>
        <v>0</v>
      </c>
      <c r="H16" s="41">
        <f>ROUNDDOWN(G16*F16,2)</f>
        <v>0</v>
      </c>
      <c r="I16" s="41">
        <f>H16</f>
        <v>0</v>
      </c>
      <c r="J16" s="32"/>
      <c r="M16" s="16"/>
      <c r="V16" s="16"/>
    </row>
    <row r="17" spans="2:22" s="11" customFormat="1" ht="16.5" customHeight="1" x14ac:dyDescent="0.25">
      <c r="B17" s="32"/>
      <c r="C17" s="32"/>
      <c r="D17" s="39">
        <f>E16+0.01</f>
        <v>144000.01</v>
      </c>
      <c r="E17" s="39">
        <f>E16+20000</f>
        <v>164000</v>
      </c>
      <c r="F17" s="40">
        <v>7.0000000000000007E-2</v>
      </c>
      <c r="G17" s="41">
        <f>MIN(E17-E16,$J$13-SUM($G$16:G16))</f>
        <v>0</v>
      </c>
      <c r="H17" s="41">
        <f>IF(G17=0,0,ROUNDDOWN(G17*F17-(H16-G16*F16),2))</f>
        <v>0</v>
      </c>
      <c r="I17" s="41">
        <f t="shared" ref="I17:I22" si="0">IF(H17=0,0,I16+H17)</f>
        <v>0</v>
      </c>
      <c r="J17" s="32"/>
      <c r="M17" s="16">
        <f ca="1">IF(J5="",YEAR(TODAY()),J5)</f>
        <v>2026</v>
      </c>
      <c r="N17" s="11">
        <v>12</v>
      </c>
      <c r="O17" s="11">
        <v>31</v>
      </c>
    </row>
    <row r="18" spans="2:22" s="11" customFormat="1" ht="16.5" customHeight="1" x14ac:dyDescent="0.25">
      <c r="B18" s="32"/>
      <c r="C18" s="32"/>
      <c r="D18" s="39">
        <f>E17+0.01</f>
        <v>164000.01</v>
      </c>
      <c r="E18" s="39">
        <f>E17+20000</f>
        <v>184000</v>
      </c>
      <c r="F18" s="40">
        <v>0.08</v>
      </c>
      <c r="G18" s="41">
        <f>MIN(E18-E17,$J$13-SUM($G$16:G17))</f>
        <v>0</v>
      </c>
      <c r="H18" s="41">
        <f>IF(G18=0,0,ROUNDDOWN(G18*F18-(SUM($H$17:H17)-G17*F17),2))</f>
        <v>0</v>
      </c>
      <c r="I18" s="41">
        <f t="shared" si="0"/>
        <v>0</v>
      </c>
      <c r="J18" s="32"/>
      <c r="M18" s="11">
        <f>IF(M7=0,DATEDIF(DATE(M15,N15,O15),DATE(M20,N20,O20),"D"),0)</f>
        <v>0</v>
      </c>
      <c r="N18" s="11">
        <f ca="1">DATEDIF(DATE(M20,N20,O20),DATE(M17,N17,O17),"D")+1</f>
        <v>365</v>
      </c>
      <c r="O18" s="17">
        <f ca="1">N18/(M18+N18)</f>
        <v>1</v>
      </c>
    </row>
    <row r="19" spans="2:22" s="11" customFormat="1" ht="16.5" customHeight="1" x14ac:dyDescent="0.25">
      <c r="B19" s="32"/>
      <c r="C19" s="32"/>
      <c r="D19" s="39">
        <f>E18+0.01</f>
        <v>184000.01</v>
      </c>
      <c r="E19" s="39">
        <f>E18+40000</f>
        <v>224000</v>
      </c>
      <c r="F19" s="40">
        <v>0.09</v>
      </c>
      <c r="G19" s="41">
        <f>MIN(E19-E18,$J$13-SUM($G$16:G18))</f>
        <v>0</v>
      </c>
      <c r="H19" s="41">
        <f>IF(G19=0,0, ROUNDDOWN(G19*F19-(SUM($H$17:H18)-G18*F18-G17*F17),2))</f>
        <v>0</v>
      </c>
      <c r="I19" s="41">
        <f t="shared" si="0"/>
        <v>0</v>
      </c>
      <c r="J19" s="32"/>
      <c r="M19" s="11" t="e">
        <f>YEAR(J7)</f>
        <v>#VALUE!</v>
      </c>
      <c r="N19" s="11" t="e">
        <f>MONTH($J$7)</f>
        <v>#VALUE!</v>
      </c>
      <c r="O19" s="11" t="e">
        <f>DAY($J$7)</f>
        <v>#VALUE!</v>
      </c>
    </row>
    <row r="20" spans="2:22" s="11" customFormat="1" ht="16.5" customHeight="1" x14ac:dyDescent="0.25">
      <c r="B20" s="32"/>
      <c r="C20" s="32"/>
      <c r="D20" s="39">
        <f>E19+0.01</f>
        <v>224000.01</v>
      </c>
      <c r="E20" s="39">
        <f>+E19+80000</f>
        <v>304000</v>
      </c>
      <c r="F20" s="40">
        <v>0.1</v>
      </c>
      <c r="G20" s="41">
        <f>MIN(E20-E19,$J$13-SUM($G$16:G19))</f>
        <v>0</v>
      </c>
      <c r="H20" s="41">
        <f>IF(G20=0,0,ROUNDDOWN(G20*F20-(SUM($H$17:H19)-G19*F19-G18*F18-G17*F17),2))</f>
        <v>0</v>
      </c>
      <c r="I20" s="72">
        <f t="shared" si="0"/>
        <v>0</v>
      </c>
      <c r="J20" s="32"/>
      <c r="M20" s="11">
        <f ca="1">IF(J5="",YEAR(TODAY()),J5)</f>
        <v>2026</v>
      </c>
      <c r="N20" s="11">
        <f>IF(J7="",1,MONTH($J$7))</f>
        <v>1</v>
      </c>
      <c r="O20" s="11">
        <f>IF(J7="",1,DAY($J$7))</f>
        <v>1</v>
      </c>
    </row>
    <row r="21" spans="2:22" s="11" customFormat="1" ht="16.5" customHeight="1" x14ac:dyDescent="0.25">
      <c r="B21" s="32"/>
      <c r="C21" s="32"/>
      <c r="D21" s="39">
        <f>E20+0.01</f>
        <v>304000.01</v>
      </c>
      <c r="E21" s="39">
        <f>E20+120000</f>
        <v>424000</v>
      </c>
      <c r="F21" s="40">
        <v>0.11</v>
      </c>
      <c r="G21" s="41">
        <f>MIN(E21-E20,$J$13-SUM($G$16:G20))</f>
        <v>0</v>
      </c>
      <c r="H21" s="41">
        <f>IF(G21=0,0,ROUNDDOWN(G21*F21-(SUM($H$17:H20)-G20*F20-G19*F19-G18*F18-G17*F17),2))</f>
        <v>0</v>
      </c>
      <c r="I21" s="41">
        <f t="shared" si="0"/>
        <v>0</v>
      </c>
      <c r="J21" s="32"/>
      <c r="M21" s="11">
        <f>198000-144000</f>
        <v>54000</v>
      </c>
      <c r="N21" s="11">
        <f>396000-288000</f>
        <v>108000</v>
      </c>
    </row>
    <row r="22" spans="2:22" s="11" customFormat="1" ht="16.5" customHeight="1" x14ac:dyDescent="0.25">
      <c r="B22" s="32"/>
      <c r="C22" s="32"/>
      <c r="D22" s="101" t="str">
        <f>"acima de " &amp; FIXED(E21,2,FALSE)</f>
        <v>acima de 424,000.00</v>
      </c>
      <c r="E22" s="141"/>
      <c r="F22" s="40">
        <v>0.12</v>
      </c>
      <c r="G22" s="41">
        <f>$J$13-SUM($G$16:G21)</f>
        <v>0</v>
      </c>
      <c r="H22" s="41">
        <f>IF(G22=0,0, ROUNDDOWN(G22*F22-(SUM($H$17:H21)-G21*F21-G20*F20-G19*F19-G18*F18-G17*F17),2))</f>
        <v>0</v>
      </c>
      <c r="I22" s="41">
        <f t="shared" si="0"/>
        <v>0</v>
      </c>
      <c r="J22" s="32"/>
    </row>
    <row r="23" spans="2:22" s="11" customFormat="1" ht="7.5" customHeight="1" x14ac:dyDescent="0.3">
      <c r="B23" s="42"/>
      <c r="C23" s="42"/>
      <c r="D23" s="42"/>
      <c r="E23" s="43"/>
      <c r="F23" s="44"/>
      <c r="G23" s="45"/>
      <c r="H23" s="46"/>
      <c r="I23" s="46"/>
      <c r="J23" s="42"/>
      <c r="V23" s="21"/>
    </row>
    <row r="24" spans="2:22" s="11" customFormat="1" ht="19.5" customHeight="1" x14ac:dyDescent="0.3">
      <c r="B24" s="63" t="s">
        <v>31</v>
      </c>
      <c r="C24" s="98" t="s">
        <v>29</v>
      </c>
      <c r="D24" s="120"/>
      <c r="E24" s="120"/>
      <c r="F24" s="120"/>
      <c r="G24" s="120"/>
      <c r="H24" s="120"/>
      <c r="I24" s="120"/>
      <c r="J24" s="78">
        <f>ROUNDDOWN(MAX(I16:I22),2)</f>
        <v>0</v>
      </c>
      <c r="M24" s="21" t="s">
        <v>5</v>
      </c>
      <c r="N24" s="18" t="str">
        <f ca="1">IF(J5="","Atingiu a idade de 65 anos no ano de "&amp;YEAR(TODAY()),"Atingiu a idade de 65 anos no ano de "&amp;J5)</f>
        <v>Atingiu a idade de 65 anos no ano de 2026</v>
      </c>
      <c r="O24" s="137" t="s">
        <v>46</v>
      </c>
      <c r="P24" s="120"/>
      <c r="Q24" s="120"/>
      <c r="R24" s="120"/>
      <c r="S24" s="120"/>
      <c r="T24" s="120"/>
      <c r="U24" s="138"/>
    </row>
    <row r="25" spans="2:22" s="11" customFormat="1" ht="39" customHeight="1" thickBot="1" x14ac:dyDescent="0.3">
      <c r="B25" s="67" t="s">
        <v>32</v>
      </c>
      <c r="C25" s="99" t="s">
        <v>34</v>
      </c>
      <c r="D25" s="134"/>
      <c r="E25" s="134"/>
      <c r="F25" s="134"/>
      <c r="G25" s="134"/>
      <c r="H25" s="134"/>
      <c r="I25" s="134"/>
      <c r="J25" s="79">
        <f>ROUNDDOWN(J24*30%,2)</f>
        <v>0</v>
      </c>
    </row>
    <row r="26" spans="2:22" s="11" customFormat="1" ht="19.5" customHeight="1" thickBot="1" x14ac:dyDescent="0.3">
      <c r="B26" s="68" t="s">
        <v>33</v>
      </c>
      <c r="C26" s="103" t="s">
        <v>35</v>
      </c>
      <c r="D26" s="136"/>
      <c r="E26" s="136"/>
      <c r="F26" s="136"/>
      <c r="G26" s="136"/>
      <c r="H26" s="136"/>
      <c r="I26" s="136"/>
      <c r="J26" s="80">
        <f>ROUNDUP(J24-J25,0)</f>
        <v>0</v>
      </c>
      <c r="V26" s="22"/>
    </row>
    <row r="27" spans="2:22" s="11" customFormat="1" thickTop="1" x14ac:dyDescent="0.25">
      <c r="B27" s="75" t="s">
        <v>3</v>
      </c>
      <c r="C27" s="108" t="s">
        <v>20</v>
      </c>
      <c r="D27" s="108"/>
      <c r="E27" s="108"/>
      <c r="F27" s="108"/>
      <c r="G27" s="108"/>
      <c r="H27" s="108"/>
      <c r="I27" s="108"/>
      <c r="J27" s="108"/>
      <c r="M27" s="22">
        <f ca="1">IF(J5="",DATE(YEAR(TODAY())-65,1,1),DATE(J5-65,1,1))</f>
        <v>22282</v>
      </c>
      <c r="N27" s="11" t="str">
        <f ca="1">IF(L9=1,"",IF(AND(L9=2,J5=""),"Data de nascimento (ano/mês/dia) : (só para as pessoas nasceram no ano de"&amp;YEAR(TODAY())-65&amp;")",IF(AND(L9=2,J5&lt;&gt;""),"Data de nascimento (ano/mês/dia) : (só para as pessoas nasceram no ano de"&amp;N28&amp;")",IF(L9=3,""))))</f>
        <v/>
      </c>
      <c r="V27" s="22"/>
    </row>
    <row r="28" spans="2:22" s="11" customFormat="1" thickBot="1" x14ac:dyDescent="0.3">
      <c r="B28" s="76" t="s">
        <v>4</v>
      </c>
      <c r="C28" s="109" t="s">
        <v>21</v>
      </c>
      <c r="D28" s="109"/>
      <c r="E28" s="109"/>
      <c r="F28" s="109"/>
      <c r="G28" s="109"/>
      <c r="H28" s="109"/>
      <c r="I28" s="109"/>
      <c r="J28" s="109"/>
      <c r="M28" s="22">
        <f ca="1">IF(J5="",DATE(YEAR(TODAY())-65,12,31),DATE(J5-65,12,31))</f>
        <v>22646</v>
      </c>
      <c r="N28" s="16">
        <f ca="1">IF(J5="",YEAR(TODAY())-65,J5-65)</f>
        <v>1961</v>
      </c>
    </row>
    <row r="29" spans="2:22" s="11" customFormat="1" ht="15.75" x14ac:dyDescent="0.25">
      <c r="B29" s="92" t="s">
        <v>22</v>
      </c>
      <c r="C29" s="93"/>
      <c r="D29" s="93"/>
      <c r="E29" s="93"/>
      <c r="F29" s="93"/>
      <c r="G29" s="93"/>
      <c r="H29" s="93"/>
      <c r="I29" s="93"/>
      <c r="J29" s="93"/>
    </row>
    <row r="30" spans="2:22" hidden="1" x14ac:dyDescent="0.25">
      <c r="B30" s="6" t="s">
        <v>0</v>
      </c>
      <c r="C30" s="7"/>
      <c r="D30" s="7"/>
      <c r="E30" s="7"/>
      <c r="F30" s="7"/>
      <c r="G30" s="7"/>
      <c r="H30" s="7"/>
      <c r="I30" s="7"/>
      <c r="J30" s="7"/>
      <c r="K30" s="4" t="e">
        <f>#REF!-G31</f>
        <v>#REF!</v>
      </c>
      <c r="L30" s="11"/>
      <c r="M30" s="11"/>
      <c r="N30" s="11"/>
      <c r="O30" s="11"/>
      <c r="P30" s="11"/>
      <c r="Q30" s="11"/>
      <c r="R30" s="11"/>
      <c r="S30" s="11"/>
      <c r="T30" s="11"/>
      <c r="U30" s="11"/>
      <c r="V30" s="11"/>
    </row>
    <row r="31" spans="2:22" hidden="1" x14ac:dyDescent="0.25">
      <c r="B31" s="7"/>
      <c r="C31" s="7" t="s">
        <v>2</v>
      </c>
      <c r="D31" s="7"/>
      <c r="E31" s="7"/>
      <c r="F31" s="8">
        <v>0.25</v>
      </c>
      <c r="G31" s="9" t="e">
        <f>#REF!*F31</f>
        <v>#REF!</v>
      </c>
      <c r="H31" s="7"/>
      <c r="I31" s="7"/>
      <c r="J31" s="7"/>
      <c r="M31" s="11"/>
      <c r="N31" s="11"/>
      <c r="O31" s="11"/>
      <c r="P31" s="11"/>
      <c r="Q31" s="11"/>
      <c r="R31" s="11"/>
      <c r="S31" s="11"/>
      <c r="T31" s="11"/>
      <c r="U31" s="11"/>
      <c r="V31" s="11"/>
    </row>
    <row r="32" spans="2:22" hidden="1" x14ac:dyDescent="0.25">
      <c r="B32" s="6" t="s">
        <v>1</v>
      </c>
      <c r="C32" s="7"/>
      <c r="D32" s="7"/>
      <c r="E32" s="7"/>
      <c r="F32" s="7"/>
      <c r="G32" s="7"/>
      <c r="H32" s="7"/>
      <c r="I32" s="7"/>
      <c r="J32" s="7"/>
      <c r="K32" s="4" t="e">
        <f>K30/12</f>
        <v>#REF!</v>
      </c>
      <c r="M32" s="11"/>
      <c r="N32" s="11"/>
      <c r="O32" s="11"/>
      <c r="P32" s="11"/>
      <c r="Q32" s="11"/>
      <c r="R32" s="11"/>
      <c r="S32" s="11"/>
      <c r="T32" s="11"/>
      <c r="U32" s="11"/>
    </row>
  </sheetData>
  <sheetProtection sheet="1" objects="1" scenarios="1" selectLockedCells="1"/>
  <customSheetViews>
    <customSheetView guid="{AA3E4D5E-3A47-45A8-BB43-466E3FB86B12}" showGridLines="0" showRowCol="0" fitToPage="1" hiddenRows="1" hiddenColumns="1" showRuler="0">
      <selection activeCell="J5" sqref="J5"/>
      <pageMargins left="0.74803149606299213" right="0.74803149606299213" top="0.98425196850393704" bottom="0.98425196850393704" header="0.51181102362204722" footer="0.51181102362204722"/>
      <printOptions horizontalCentered="1" verticalCentered="1"/>
      <pageSetup paperSize="9" orientation="landscape" r:id="rId1"/>
      <headerFooter alignWithMargins="0"/>
    </customSheetView>
  </customSheetViews>
  <mergeCells count="20">
    <mergeCell ref="O24:U24"/>
    <mergeCell ref="D7:E7"/>
    <mergeCell ref="B3:J3"/>
    <mergeCell ref="F7:I7"/>
    <mergeCell ref="D6:J6"/>
    <mergeCell ref="D8:J8"/>
    <mergeCell ref="D5:I5"/>
    <mergeCell ref="C9:I9"/>
    <mergeCell ref="C10:I10"/>
    <mergeCell ref="C13:I13"/>
    <mergeCell ref="D22:E22"/>
    <mergeCell ref="B29:J29"/>
    <mergeCell ref="C11:I11"/>
    <mergeCell ref="C25:I25"/>
    <mergeCell ref="C24:I24"/>
    <mergeCell ref="B2:J2"/>
    <mergeCell ref="C27:J27"/>
    <mergeCell ref="C28:J28"/>
    <mergeCell ref="C26:I26"/>
    <mergeCell ref="D4:I4"/>
  </mergeCells>
  <phoneticPr fontId="1" type="noConversion"/>
  <dataValidations xWindow="728" yWindow="220" count="4">
    <dataValidation type="decimal" allowBlank="1" showErrorMessage="1" errorTitle="Atenção:" error="O valor não pode ser superior ao rendimento total._x000a_" promptTitle="Matéria não colectável" prompt="O valor não pode ser superior ao rendimento total." sqref="J10" xr:uid="{00000000-0002-0000-0200-000000000000}">
      <formula1>0</formula1>
      <formula2>J9</formula2>
    </dataValidation>
    <dataValidation operator="greaterThanOrEqual" allowBlank="1" promptTitle="Ano do cálculo:" prompt="Insira primeiramente o “Ano do cálculo” na página de “Cálculo mensal”" sqref="J5" xr:uid="{00000000-0002-0000-0200-000001000000}"/>
    <dataValidation type="decimal" allowBlank="1" showErrorMessage="1" errorTitle="Atenção:" error="1. O valor a inserir deve ser um valor inteiro._x000a_2. O valor não pode ser inferior à matéria não colectável do 2º semestre do exercício de 2003." promptTitle="Rendimento total" prompt="Atenção:_x000a_O valor deve incluir o rendimento que não constitua matéria colectável._x000a_" sqref="J9" xr:uid="{00000000-0002-0000-0200-000002000000}">
      <formula1>J10</formula1>
      <formula2>999999999999</formula2>
    </dataValidation>
    <dataValidation allowBlank="1" showInputMessage="1" showErrorMessage="1" promptTitle="Insira a data de nascimento :" prompt="Insira primeiramente a “Data de nascimento” na página de “Cálculo mensal”" sqref="J7" xr:uid="{00000000-0002-0000-0200-000003000000}"/>
  </dataValidations>
  <hyperlinks>
    <hyperlink ref="B29" r:id="rId2" display="有關房屋稅之詳細資料，請瀏覽財政局網 http://www.dsf.gov.mo" xr:uid="{00000000-0004-0000-0200-000000000000}"/>
  </hyperlinks>
  <printOptions horizontalCentered="1" verticalCentered="1"/>
  <pageMargins left="0.74803149606299213" right="0.74803149606299213" top="0.98425196850393704" bottom="0.98425196850393704" header="0.51181102362204722" footer="0.51181102362204722"/>
  <pageSetup paperSize="9" orientation="landscape" cellComments="asDisplayed" r:id="rId3"/>
  <headerFooter alignWithMargins="0"/>
  <drawing r:id="rId4"/>
  <legacyDrawing r:id="rId5"/>
  <picture r:id="rId6"/>
  <mc:AlternateContent xmlns:mc="http://schemas.openxmlformats.org/markup-compatibility/2006">
    <mc:Choice Requires="x14">
      <controls>
        <mc:AlternateContent xmlns:mc="http://schemas.openxmlformats.org/markup-compatibility/2006">
          <mc:Choice Requires="x14">
            <control shapeId="3104" r:id="rId7" name="Option Button 32">
              <controlPr defaultSize="0" autoFill="0" autoLine="0" autoPict="0">
                <anchor moveWithCells="1">
                  <from>
                    <xdr:col>1</xdr:col>
                    <xdr:colOff>38100</xdr:colOff>
                    <xdr:row>5</xdr:row>
                    <xdr:rowOff>47625</xdr:rowOff>
                  </from>
                  <to>
                    <xdr:col>2</xdr:col>
                    <xdr:colOff>95250</xdr:colOff>
                    <xdr:row>5</xdr:row>
                    <xdr:rowOff>228600</xdr:rowOff>
                  </to>
                </anchor>
              </controlPr>
            </control>
          </mc:Choice>
        </mc:AlternateContent>
        <mc:AlternateContent xmlns:mc="http://schemas.openxmlformats.org/markup-compatibility/2006">
          <mc:Choice Requires="x14">
            <control shapeId="3105" r:id="rId8" name="Option Button 33">
              <controlPr defaultSize="0" autoFill="0" autoLine="0" autoPict="0">
                <anchor moveWithCells="1">
                  <from>
                    <xdr:col>1</xdr:col>
                    <xdr:colOff>38100</xdr:colOff>
                    <xdr:row>6</xdr:row>
                    <xdr:rowOff>152400</xdr:rowOff>
                  </from>
                  <to>
                    <xdr:col>2</xdr:col>
                    <xdr:colOff>76200</xdr:colOff>
                    <xdr:row>6</xdr:row>
                    <xdr:rowOff>371475</xdr:rowOff>
                  </to>
                </anchor>
              </controlPr>
            </control>
          </mc:Choice>
        </mc:AlternateContent>
        <mc:AlternateContent xmlns:mc="http://schemas.openxmlformats.org/markup-compatibility/2006">
          <mc:Choice Requires="x14">
            <control shapeId="3108" r:id="rId9" name="Option Button 36">
              <controlPr defaultSize="0" autoFill="0" autoLine="0" autoPict="0">
                <anchor moveWithCells="1">
                  <from>
                    <xdr:col>1</xdr:col>
                    <xdr:colOff>38100</xdr:colOff>
                    <xdr:row>7</xdr:row>
                    <xdr:rowOff>28575</xdr:rowOff>
                  </from>
                  <to>
                    <xdr:col>2</xdr:col>
                    <xdr:colOff>85725</xdr:colOff>
                    <xdr:row>7</xdr:row>
                    <xdr:rowOff>209550</xdr:rowOff>
                  </to>
                </anchor>
              </controlPr>
            </control>
          </mc:Choice>
        </mc:AlternateContent>
        <mc:AlternateContent xmlns:mc="http://schemas.openxmlformats.org/markup-compatibility/2006">
          <mc:Choice Requires="x14">
            <control shapeId="3109" r:id="rId10" name="Group Box 37">
              <controlPr defaultSize="0" autoFill="0" autoPict="0" altText="">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3110" r:id="rId11" name="Option Button 38">
              <controlPr defaultSize="0" autoFill="0" autoLine="0" autoPict="0">
                <anchor moveWithCells="1">
                  <from>
                    <xdr:col>9</xdr:col>
                    <xdr:colOff>95250</xdr:colOff>
                    <xdr:row>3</xdr:row>
                    <xdr:rowOff>219075</xdr:rowOff>
                  </from>
                  <to>
                    <xdr:col>9</xdr:col>
                    <xdr:colOff>590550</xdr:colOff>
                    <xdr:row>3</xdr:row>
                    <xdr:rowOff>457200</xdr:rowOff>
                  </to>
                </anchor>
              </controlPr>
            </control>
          </mc:Choice>
        </mc:AlternateContent>
        <mc:AlternateContent xmlns:mc="http://schemas.openxmlformats.org/markup-compatibility/2006">
          <mc:Choice Requires="x14">
            <control shapeId="3111" r:id="rId12" name="Option Button 39">
              <controlPr locked="0" defaultSize="0" autoFill="0" autoLine="0" autoPict="0">
                <anchor moveWithCells="1">
                  <from>
                    <xdr:col>9</xdr:col>
                    <xdr:colOff>914400</xdr:colOff>
                    <xdr:row>3</xdr:row>
                    <xdr:rowOff>219075</xdr:rowOff>
                  </from>
                  <to>
                    <xdr:col>9</xdr:col>
                    <xdr:colOff>1390650</xdr:colOff>
                    <xdr:row>3</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    Mensal    </vt:lpstr>
      <vt:lpstr>    Trimestral    </vt:lpstr>
      <vt:lpstr>    Anual    </vt:lpstr>
      <vt:lpstr>主頁面</vt:lpstr>
    </vt:vector>
  </TitlesOfParts>
  <Company>財政局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職業稅預繳稅款</dc:title>
  <dc:creator>Adwin - Lou Kam Hung</dc:creator>
  <cp:keywords>職業稅, 預繳稅款</cp:keywords>
  <dc:description>版本 1.0</dc:description>
  <cp:lastModifiedBy>Adwin - Lou Kam Hung</cp:lastModifiedBy>
  <cp:lastPrinted>2006-01-17T09:01:56Z</cp:lastPrinted>
  <dcterms:created xsi:type="dcterms:W3CDTF">2003-06-10T11:14:23Z</dcterms:created>
  <dcterms:modified xsi:type="dcterms:W3CDTF">2026-02-10T07:27:26Z</dcterms:modified>
  <cp:category>職業稅</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-531569629</vt:i4>
  </property>
  <property fmtid="{D5CDD505-2E9C-101B-9397-08002B2CF9AE}" pid="3" name="_EmailSubject">
    <vt:lpwstr>Imposto profissional excel file </vt:lpwstr>
  </property>
  <property fmtid="{D5CDD505-2E9C-101B-9397-08002B2CF9AE}" pid="4" name="_AuthorEmail">
    <vt:lpwstr>ericchan@dsf.gov.mo</vt:lpwstr>
  </property>
  <property fmtid="{D5CDD505-2E9C-101B-9397-08002B2CF9AE}" pid="5" name="_AuthorEmailDisplayName">
    <vt:lpwstr>Eric, Chan Wai Pan</vt:lpwstr>
  </property>
  <property fmtid="{D5CDD505-2E9C-101B-9397-08002B2CF9AE}" pid="6" name="_PreviousAdHocReviewCycleID">
    <vt:i4>956745754</vt:i4>
  </property>
  <property fmtid="{D5CDD505-2E9C-101B-9397-08002B2CF9AE}" pid="7" name="_ReviewingToolsShownOnce">
    <vt:lpwstr/>
  </property>
</Properties>
</file>