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InetPub\dsfhome.1\download\calc\"/>
    </mc:Choice>
  </mc:AlternateContent>
  <xr:revisionPtr revIDLastSave="0" documentId="13_ncr:1_{D5DC3082-6FE6-4A56-8063-ED314256C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　　每月　　" sheetId="4" r:id="rId1"/>
    <sheet name="　　每季　　" sheetId="3" state="hidden" r:id="rId2"/>
    <sheet name="　　全年　　" sheetId="1" r:id="rId3"/>
  </sheets>
  <definedNames>
    <definedName name="Z_AA3E4D5E_3A47_45A8_BB43_466E3FB86B12_.wvu.Cols" localSheetId="2" hidden="1">'　　全年　　'!$L:$IV</definedName>
    <definedName name="Z_AA3E4D5E_3A47_45A8_BB43_466E3FB86B12_.wvu.Cols" localSheetId="0" hidden="1">'　　每月　　'!$L:$IV</definedName>
    <definedName name="Z_AA3E4D5E_3A47_45A8_BB43_466E3FB86B12_.wvu.Cols" localSheetId="1" hidden="1">'　　每季　　'!$L:$IV</definedName>
    <definedName name="Z_AA3E4D5E_3A47_45A8_BB43_466E3FB86B12_.wvu.Rows" localSheetId="2" hidden="1">'　　全年　　'!$42:$65537,'　　全年　　'!$30:$39,'　　全年　　'!$41:$41</definedName>
    <definedName name="Z_AA3E4D5E_3A47_45A8_BB43_466E3FB86B12_.wvu.Rows" localSheetId="0" hidden="1">'　　每月　　'!$43:$65537,'　　每月　　'!$30:$39,'　　每月　　'!$41:$42</definedName>
    <definedName name="Z_AA3E4D5E_3A47_45A8_BB43_466E3FB86B12_.wvu.Rows" localSheetId="1" hidden="1">'　　每季　　'!$44:$65537,'　　每季　　'!$30:$41,'　　每季　　'!$43:$43</definedName>
    <definedName name="主頁面">'　　全年　　'!$F$1</definedName>
    <definedName name="其它收入">#REF!</definedName>
  </definedNames>
  <calcPr calcId="191029"/>
  <customWorkbookViews>
    <customWorkbookView name="ericchan - 個人檢視畫面" guid="{AA3E4D5E-3A47-45A8-BB43-466E3FB86B12}" mergeInterval="0" personalView="1" maximized="1" windowWidth="1020" windowHeight="56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4" l="1"/>
  <c r="P3" i="1"/>
  <c r="O3" i="1"/>
  <c r="N21" i="1"/>
  <c r="J11" i="1" l="1"/>
  <c r="J11" i="3"/>
  <c r="J11" i="4"/>
  <c r="J12" i="3" l="1"/>
  <c r="J13" i="3" s="1"/>
  <c r="M6" i="3"/>
  <c r="J7" i="3" s="1"/>
  <c r="M5" i="3"/>
  <c r="J5" i="3" s="1"/>
  <c r="B1" i="3" s="1"/>
  <c r="M6" i="1"/>
  <c r="J7" i="1" s="1"/>
  <c r="M5" i="1"/>
  <c r="J5" i="1" s="1"/>
  <c r="J12" i="1"/>
  <c r="J13" i="1" s="1"/>
  <c r="M21" i="1"/>
  <c r="G31" i="1"/>
  <c r="K30" i="1" s="1"/>
  <c r="K32" i="1" s="1"/>
  <c r="D6" i="3"/>
  <c r="D8" i="3"/>
  <c r="G31" i="3"/>
  <c r="K30" i="3" s="1"/>
  <c r="K32" i="3" s="1"/>
  <c r="D6" i="4"/>
  <c r="D8" i="4"/>
  <c r="J12" i="4"/>
  <c r="J13" i="4" s="1"/>
  <c r="G31" i="4"/>
  <c r="K30" i="4" s="1"/>
  <c r="K32" i="4" s="1"/>
  <c r="N20" i="1" l="1"/>
  <c r="M7" i="1"/>
  <c r="M19" i="1"/>
  <c r="O19" i="1"/>
  <c r="N19" i="1"/>
  <c r="N28" i="1"/>
  <c r="N27" i="1" s="1"/>
  <c r="F7" i="4" s="1"/>
  <c r="N11" i="1"/>
  <c r="M13" i="1" s="1"/>
  <c r="M15" i="1"/>
  <c r="M20" i="1"/>
  <c r="M27" i="1"/>
  <c r="M17" i="1"/>
  <c r="O20" i="1"/>
  <c r="M28" i="1"/>
  <c r="N7" i="1" l="1"/>
  <c r="F7" i="3"/>
  <c r="F7" i="1"/>
  <c r="N18" i="1"/>
  <c r="D7" i="3"/>
  <c r="M18" i="1"/>
  <c r="D7" i="4"/>
  <c r="B2" i="4" l="1"/>
  <c r="L10" i="3"/>
  <c r="B2" i="3" s="1"/>
  <c r="O18" i="1"/>
  <c r="L11" i="3"/>
  <c r="B3" i="3" s="1"/>
  <c r="L12" i="4"/>
  <c r="B3" i="4" s="1"/>
  <c r="B3" i="1"/>
  <c r="M9" i="1" l="1"/>
  <c r="N9" i="1"/>
  <c r="E16" i="1" l="1"/>
  <c r="E16" i="3" s="1"/>
  <c r="G16" i="3" s="1"/>
  <c r="H16" i="3" s="1"/>
  <c r="I16" i="3" s="1"/>
  <c r="E16" i="4" l="1"/>
  <c r="D17" i="4" s="1"/>
  <c r="E17" i="1"/>
  <c r="E17" i="4" s="1"/>
  <c r="D18" i="4" s="1"/>
  <c r="G16" i="1"/>
  <c r="H16" i="1" s="1"/>
  <c r="I16" i="1" s="1"/>
  <c r="D17" i="1"/>
  <c r="D17" i="3"/>
  <c r="G17" i="1" l="1"/>
  <c r="H17" i="1" s="1"/>
  <c r="I17" i="1" s="1"/>
  <c r="D18" i="1"/>
  <c r="E17" i="3"/>
  <c r="D18" i="3" s="1"/>
  <c r="E18" i="1"/>
  <c r="E18" i="4" s="1"/>
  <c r="D19" i="4" s="1"/>
  <c r="G16" i="4"/>
  <c r="G17" i="4" s="1"/>
  <c r="E19" i="1" l="1"/>
  <c r="E19" i="3" s="1"/>
  <c r="D20" i="3" s="1"/>
  <c r="D19" i="1"/>
  <c r="E18" i="3"/>
  <c r="D19" i="3" s="1"/>
  <c r="G17" i="3"/>
  <c r="H17" i="3" s="1"/>
  <c r="I17" i="3" s="1"/>
  <c r="G18" i="1"/>
  <c r="H18" i="1" s="1"/>
  <c r="I18" i="1" s="1"/>
  <c r="G18" i="4"/>
  <c r="H16" i="4"/>
  <c r="I16" i="4" s="1"/>
  <c r="H17" i="4" l="1"/>
  <c r="I17" i="4" s="1"/>
  <c r="E20" i="1"/>
  <c r="D21" i="1" s="1"/>
  <c r="E19" i="4"/>
  <c r="G19" i="4" s="1"/>
  <c r="D20" i="1"/>
  <c r="G18" i="3"/>
  <c r="H18" i="3" s="1"/>
  <c r="I18" i="3" s="1"/>
  <c r="G19" i="1"/>
  <c r="H19" i="1" s="1"/>
  <c r="I19" i="1" s="1"/>
  <c r="H18" i="4" l="1"/>
  <c r="I18" i="4" s="1"/>
  <c r="E21" i="1"/>
  <c r="E21" i="3" s="1"/>
  <c r="E22" i="3" s="1"/>
  <c r="E20" i="3"/>
  <c r="D21" i="3" s="1"/>
  <c r="E20" i="4"/>
  <c r="D21" i="4" s="1"/>
  <c r="D20" i="4"/>
  <c r="G19" i="3"/>
  <c r="H19" i="3" s="1"/>
  <c r="I19" i="3" s="1"/>
  <c r="G20" i="1"/>
  <c r="H20" i="1" s="1"/>
  <c r="I20" i="1" s="1"/>
  <c r="H19" i="4"/>
  <c r="I19" i="4" s="1"/>
  <c r="G20" i="4" l="1"/>
  <c r="H20" i="4" s="1"/>
  <c r="I20" i="4" s="1"/>
  <c r="G20" i="3"/>
  <c r="H20" i="3" s="1"/>
  <c r="I20" i="3" s="1"/>
  <c r="E21" i="4"/>
  <c r="E22" i="4" s="1"/>
  <c r="E22" i="1"/>
  <c r="G21" i="1"/>
  <c r="H21" i="1" s="1"/>
  <c r="I21" i="1" s="1"/>
  <c r="G21" i="4"/>
  <c r="G21" i="3" l="1"/>
  <c r="H21" i="3" s="1"/>
  <c r="I21" i="3" s="1"/>
  <c r="G22" i="1"/>
  <c r="H22" i="1" s="1"/>
  <c r="I22" i="1" s="1"/>
  <c r="J24" i="1" s="1"/>
  <c r="J25" i="1" s="1"/>
  <c r="J26" i="1" s="1"/>
  <c r="H21" i="4"/>
  <c r="I21" i="4" s="1"/>
  <c r="G22" i="4"/>
  <c r="G22" i="3" l="1"/>
  <c r="H22" i="3" s="1"/>
  <c r="I22" i="3" s="1"/>
  <c r="J24" i="3" s="1"/>
  <c r="J25" i="3" s="1"/>
  <c r="J26" i="3" s="1"/>
  <c r="H22" i="4"/>
  <c r="I22" i="4" s="1"/>
  <c r="J24" i="4" s="1"/>
  <c r="J25" i="4" s="1"/>
  <c r="J26" i="4" s="1"/>
</calcChain>
</file>

<file path=xl/sharedStrings.xml><?xml version="1.0" encoding="utf-8"?>
<sst xmlns="http://schemas.openxmlformats.org/spreadsheetml/2006/main" count="82" uniqueCount="60">
  <si>
    <r>
      <t>2003</t>
    </r>
    <r>
      <rPr>
        <sz val="12"/>
        <rFont val="新細明體"/>
        <family val="1"/>
        <charset val="136"/>
      </rPr>
      <t>年度應繳稅款</t>
    </r>
    <phoneticPr fontId="1" type="noConversion"/>
  </si>
  <si>
    <t>由</t>
    <phoneticPr fontId="1" type="noConversion"/>
  </si>
  <si>
    <t>至</t>
    <phoneticPr fontId="1" type="noConversion"/>
  </si>
  <si>
    <r>
      <t>2003</t>
    </r>
    <r>
      <rPr>
        <sz val="12"/>
        <rFont val="新細明體"/>
        <family val="1"/>
        <charset val="136"/>
      </rPr>
      <t>年度平均每月交付稅款</t>
    </r>
    <phoneticPr fontId="1" type="noConversion"/>
  </si>
  <si>
    <t>臨時特別豁免稅款</t>
    <phoneticPr fontId="1" type="noConversion"/>
  </si>
  <si>
    <t>由</t>
    <phoneticPr fontId="1" type="noConversion"/>
  </si>
  <si>
    <t>至</t>
    <phoneticPr fontId="1" type="noConversion"/>
  </si>
  <si>
    <t>稅率</t>
    <phoneticPr fontId="1" type="noConversion"/>
  </si>
  <si>
    <t>可課稅收益</t>
    <phoneticPr fontId="1" type="noConversion"/>
  </si>
  <si>
    <t>該級稅款</t>
    <phoneticPr fontId="1" type="noConversion"/>
  </si>
  <si>
    <t>累計稅款</t>
    <phoneticPr fontId="1" type="noConversion"/>
  </si>
  <si>
    <t>1)</t>
    <phoneticPr fontId="1" type="noConversion"/>
  </si>
  <si>
    <t>計算結果僅供參考。而確定性可課稅金額以稅務當局所作之評定為準。</t>
    <phoneticPr fontId="1" type="noConversion"/>
  </si>
  <si>
    <t>2)</t>
    <phoneticPr fontId="1" type="noConversion"/>
  </si>
  <si>
    <t>不足一元的部分，作一元計。</t>
    <phoneticPr fontId="1" type="noConversion"/>
  </si>
  <si>
    <t>有關職業稅之詳細資料，請瀏覽財政局網頁 http://www.dsf.gov.mo</t>
    <phoneticPr fontId="1" type="noConversion"/>
  </si>
  <si>
    <t>計算年度</t>
    <phoneticPr fontId="1" type="noConversion"/>
  </si>
  <si>
    <t>B. 不屬課稅收益</t>
    <phoneticPr fontId="1" type="noConversion"/>
  </si>
  <si>
    <t>A. 每季總收益（包括不課稅收益）</t>
    <phoneticPr fontId="1" type="noConversion"/>
  </si>
  <si>
    <t>D. 每季不屬課稅收益（B + C）</t>
    <phoneticPr fontId="1" type="noConversion"/>
  </si>
  <si>
    <t>F. 根據有關年度財政預算案對職業稅稅額之30%扣減優惠（E x 30%）</t>
    <phoneticPr fontId="1" type="noConversion"/>
  </si>
  <si>
    <t>D. 每季可課稅收益（A - B - C）</t>
    <phoneticPr fontId="1" type="noConversion"/>
  </si>
  <si>
    <t>E. 根據法定稅率計出之每季稅款</t>
    <phoneticPr fontId="1" type="noConversion"/>
  </si>
  <si>
    <t>G. 每季應繳職業稅稅款（E - F）</t>
    <phoneticPr fontId="1" type="noConversion"/>
  </si>
  <si>
    <t>C. 固定扣除，相當於對B項扣減後之工作收益之 25%  [(A-B) x 25%]</t>
    <phoneticPr fontId="1" type="noConversion"/>
  </si>
  <si>
    <t>是否已登記《人才引進法律制度》/《從事科技創新業務企業》？</t>
    <phoneticPr fontId="1" type="noConversion"/>
  </si>
  <si>
    <t>是否已享有《人才引进法律制度》/《从事科技创新业务企业的税务优惠制度》的职业税优惠？</t>
    <phoneticPr fontId="1" type="noConversion"/>
  </si>
  <si>
    <t>2026年度全年职业税之模拟计算</t>
  </si>
  <si>
    <t>(已选择 - 65岁以下)</t>
  </si>
  <si>
    <t>计算年度</t>
    <phoneticPr fontId="1" type="noConversion"/>
  </si>
  <si>
    <t>65岁以下</t>
  </si>
  <si>
    <t>2026年度刚满65岁</t>
  </si>
  <si>
    <t>已选择 - 65岁以下</t>
  </si>
  <si>
    <t>65岁以上/残疾人士</t>
  </si>
  <si>
    <t>A. 全年总收益（金额必须包括不课税收益）</t>
    <phoneticPr fontId="1" type="noConversion"/>
  </si>
  <si>
    <t>B. 不课税收益</t>
    <phoneticPr fontId="1" type="noConversion"/>
  </si>
  <si>
    <t>C. 固定扣除，相当于对B项扣减后之工作收益之 25%  [(A-B) x 25%]</t>
    <phoneticPr fontId="1" type="noConversion"/>
  </si>
  <si>
    <t>D. 全年不属课税收益（B + C）</t>
    <phoneticPr fontId="1" type="noConversion"/>
  </si>
  <si>
    <t>D. 全年可课税收益（A - B - C）</t>
    <phoneticPr fontId="1" type="noConversion"/>
  </si>
  <si>
    <t>税率</t>
    <phoneticPr fontId="1" type="noConversion"/>
  </si>
  <si>
    <t>可课税收益</t>
    <phoneticPr fontId="1" type="noConversion"/>
  </si>
  <si>
    <t>该级税款</t>
    <phoneticPr fontId="1" type="noConversion"/>
  </si>
  <si>
    <t>累计税款</t>
    <phoneticPr fontId="1" type="noConversion"/>
  </si>
  <si>
    <t>E. 根据法定税率计出之全年税款</t>
    <phoneticPr fontId="1" type="noConversion"/>
  </si>
  <si>
    <t>65岁以下</t>
    <phoneticPr fontId="1" type="noConversion"/>
  </si>
  <si>
    <t>65岁以上/残疾人士</t>
    <phoneticPr fontId="1" type="noConversion"/>
  </si>
  <si>
    <t>F. 根据有关年度财政预算案对职业税税额之30%扣减优惠（E x 30%）</t>
    <phoneticPr fontId="1" type="noConversion"/>
  </si>
  <si>
    <t>G. 全年应缴职业税税款（E - F）</t>
    <phoneticPr fontId="1" type="noConversion"/>
  </si>
  <si>
    <t>计算结果仅供参考。而确定性可课税金额以税务当局所作之评定为准。</t>
    <phoneticPr fontId="1" type="noConversion"/>
  </si>
  <si>
    <t>不足一元的部分，作一元计。</t>
    <phoneticPr fontId="1" type="noConversion"/>
  </si>
  <si>
    <t>有关职业税之详细资料，请浏览财政局网页 http://www.dsf.gov.mo</t>
    <phoneticPr fontId="1" type="noConversion"/>
  </si>
  <si>
    <t>2003年度应缴税款</t>
    <phoneticPr fontId="1" type="noConversion"/>
  </si>
  <si>
    <t>临时特别豁免税款</t>
    <phoneticPr fontId="1" type="noConversion"/>
  </si>
  <si>
    <t>2003年度平均每月交付税款</t>
    <phoneticPr fontId="1" type="noConversion"/>
  </si>
  <si>
    <t>2026年度每月职业税之模拟计算</t>
  </si>
  <si>
    <t>A. 每月总收益（金额必须包括不课税收益）</t>
    <phoneticPr fontId="1" type="noConversion"/>
  </si>
  <si>
    <t>D. 每月不属课税收益（B + C）</t>
    <phoneticPr fontId="1" type="noConversion"/>
  </si>
  <si>
    <t>D. 每月可课税收益（A - B - C）</t>
    <phoneticPr fontId="1" type="noConversion"/>
  </si>
  <si>
    <t>E. 根据法定税率计出之每月税款</t>
    <phoneticPr fontId="1" type="noConversion"/>
  </si>
  <si>
    <t>G. 每月应缴职业税税款（E - F）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</si>
</sst>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76" formatCode="0_ "/>
    <numFmt numFmtId="177" formatCode="#,##0_ "/>
    <numFmt numFmtId="178" formatCode="#,##0.00_ "/>
    <numFmt numFmtId="179" formatCode="#,##0_);[Red]\(#,##0\);\-_)"/>
    <numFmt numFmtId="180" formatCode="#,##0.00000_ "/>
    <numFmt numFmtId="181" formatCode="yyyy/mm/dd"/>
    <numFmt numFmtId="182" formatCode="yyyy/m/d;@"/>
    <numFmt numFmtId="183" formatCode="0.00_ "/>
    <numFmt numFmtId="184" formatCode="&quot;$&quot;#,##0_);[Red]\(&quot;$&quot;#,##0\)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color indexed="17"/>
      <name val="新細明體"/>
      <family val="1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b/>
      <sz val="18"/>
      <name val="細明體"/>
      <family val="3"/>
      <charset val="136"/>
    </font>
    <font>
      <b/>
      <sz val="10"/>
      <name val="新細明體"/>
      <family val="1"/>
      <charset val="136"/>
    </font>
    <font>
      <b/>
      <sz val="18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8"/>
      <color rgb="FF0000FF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sz val="12"/>
      <name val="新細明體"/>
      <family val="1"/>
      <charset val="136"/>
    </font>
    <font>
      <sz val="9"/>
      <color rgb="FF000000"/>
      <name val="Microsoft JhengHei UI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FEC2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C73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177" fontId="0" fillId="0" borderId="0" xfId="0" applyNumberFormat="1"/>
    <xf numFmtId="177" fontId="3" fillId="0" borderId="0" xfId="0" applyNumberFormat="1" applyFont="1" applyAlignment="1">
      <alignment horizontal="centerContinuous"/>
    </xf>
    <xf numFmtId="177" fontId="3" fillId="0" borderId="0" xfId="0" applyNumberFormat="1" applyFont="1"/>
    <xf numFmtId="177" fontId="0" fillId="2" borderId="1" xfId="0" applyNumberFormat="1" applyFill="1" applyBorder="1"/>
    <xf numFmtId="177" fontId="5" fillId="0" borderId="0" xfId="0" applyNumberFormat="1" applyFont="1"/>
    <xf numFmtId="177" fontId="2" fillId="3" borderId="0" xfId="0" applyNumberFormat="1" applyFont="1" applyFill="1"/>
    <xf numFmtId="177" fontId="0" fillId="3" borderId="0" xfId="0" applyNumberFormat="1" applyFill="1"/>
    <xf numFmtId="9" fontId="0" fillId="3" borderId="0" xfId="0" applyNumberFormat="1" applyFill="1" applyAlignment="1">
      <alignment horizontal="center"/>
    </xf>
    <xf numFmtId="177" fontId="0" fillId="3" borderId="1" xfId="0" applyNumberFormat="1" applyFill="1" applyBorder="1"/>
    <xf numFmtId="177" fontId="7" fillId="0" borderId="0" xfId="0" applyNumberFormat="1" applyFont="1"/>
    <xf numFmtId="177" fontId="8" fillId="0" borderId="0" xfId="0" applyNumberFormat="1" applyFont="1"/>
    <xf numFmtId="9" fontId="9" fillId="0" borderId="1" xfId="0" applyNumberFormat="1" applyFont="1" applyBorder="1" applyAlignment="1">
      <alignment horizontal="center"/>
    </xf>
    <xf numFmtId="177" fontId="9" fillId="0" borderId="0" xfId="0" applyNumberFormat="1" applyFont="1"/>
    <xf numFmtId="177" fontId="9" fillId="0" borderId="2" xfId="0" applyNumberFormat="1" applyFont="1" applyBorder="1"/>
    <xf numFmtId="177" fontId="9" fillId="0" borderId="3" xfId="0" applyNumberFormat="1" applyFont="1" applyBorder="1" applyAlignment="1">
      <alignment horizontal="right"/>
    </xf>
    <xf numFmtId="40" fontId="10" fillId="2" borderId="4" xfId="0" applyNumberFormat="1" applyFont="1" applyFill="1" applyBorder="1"/>
    <xf numFmtId="40" fontId="9" fillId="2" borderId="4" xfId="0" applyNumberFormat="1" applyFont="1" applyFill="1" applyBorder="1"/>
    <xf numFmtId="178" fontId="9" fillId="0" borderId="1" xfId="0" applyNumberFormat="1" applyFont="1" applyBorder="1"/>
    <xf numFmtId="40" fontId="9" fillId="2" borderId="1" xfId="0" applyNumberFormat="1" applyFont="1" applyFill="1" applyBorder="1"/>
    <xf numFmtId="177" fontId="13" fillId="0" borderId="0" xfId="0" applyNumberFormat="1" applyFont="1" applyAlignment="1">
      <alignment horizontal="centerContinuous"/>
    </xf>
    <xf numFmtId="40" fontId="9" fillId="0" borderId="0" xfId="0" applyNumberFormat="1" applyFont="1"/>
    <xf numFmtId="177" fontId="8" fillId="0" borderId="4" xfId="0" applyNumberFormat="1" applyFont="1" applyBorder="1"/>
    <xf numFmtId="38" fontId="12" fillId="4" borderId="5" xfId="0" applyNumberFormat="1" applyFont="1" applyFill="1" applyBorder="1"/>
    <xf numFmtId="177" fontId="9" fillId="0" borderId="4" xfId="0" applyNumberFormat="1" applyFont="1" applyBorder="1"/>
    <xf numFmtId="177" fontId="9" fillId="0" borderId="4" xfId="0" applyNumberFormat="1" applyFont="1" applyBorder="1" applyAlignment="1">
      <alignment horizontal="right"/>
    </xf>
    <xf numFmtId="9" fontId="9" fillId="0" borderId="4" xfId="0" applyNumberFormat="1" applyFont="1" applyBorder="1" applyAlignment="1">
      <alignment horizontal="center"/>
    </xf>
    <xf numFmtId="40" fontId="9" fillId="0" borderId="4" xfId="0" applyNumberFormat="1" applyFont="1" applyBorder="1"/>
    <xf numFmtId="179" fontId="9" fillId="0" borderId="4" xfId="0" applyNumberFormat="1" applyFont="1" applyBorder="1"/>
    <xf numFmtId="177" fontId="9" fillId="0" borderId="6" xfId="0" applyNumberFormat="1" applyFont="1" applyBorder="1"/>
    <xf numFmtId="177" fontId="9" fillId="0" borderId="6" xfId="0" applyNumberFormat="1" applyFont="1" applyBorder="1" applyAlignment="1">
      <alignment horizontal="right"/>
    </xf>
    <xf numFmtId="9" fontId="9" fillId="0" borderId="6" xfId="0" applyNumberFormat="1" applyFont="1" applyBorder="1" applyAlignment="1">
      <alignment horizontal="center"/>
    </xf>
    <xf numFmtId="40" fontId="9" fillId="0" borderId="6" xfId="0" applyNumberFormat="1" applyFont="1" applyBorder="1"/>
    <xf numFmtId="179" fontId="9" fillId="0" borderId="6" xfId="0" applyNumberFormat="1" applyFont="1" applyBorder="1"/>
    <xf numFmtId="177" fontId="8" fillId="0" borderId="1" xfId="0" applyNumberFormat="1" applyFont="1" applyBorder="1" applyAlignment="1">
      <alignment horizontal="center"/>
    </xf>
    <xf numFmtId="40" fontId="9" fillId="2" borderId="6" xfId="0" applyNumberFormat="1" applyFont="1" applyFill="1" applyBorder="1"/>
    <xf numFmtId="178" fontId="9" fillId="0" borderId="0" xfId="0" applyNumberFormat="1" applyFont="1"/>
    <xf numFmtId="4" fontId="10" fillId="2" borderId="4" xfId="0" applyNumberFormat="1" applyFont="1" applyFill="1" applyBorder="1"/>
    <xf numFmtId="4" fontId="9" fillId="2" borderId="4" xfId="0" applyNumberFormat="1" applyFont="1" applyFill="1" applyBorder="1"/>
    <xf numFmtId="177" fontId="14" fillId="0" borderId="0" xfId="0" applyNumberFormat="1" applyFont="1"/>
    <xf numFmtId="177" fontId="14" fillId="0" borderId="7" xfId="0" applyNumberFormat="1" applyFont="1" applyBorder="1"/>
    <xf numFmtId="40" fontId="10" fillId="2" borderId="8" xfId="0" applyNumberFormat="1" applyFont="1" applyFill="1" applyBorder="1"/>
    <xf numFmtId="14" fontId="8" fillId="0" borderId="0" xfId="0" applyNumberFormat="1" applyFont="1"/>
    <xf numFmtId="177" fontId="19" fillId="0" borderId="0" xfId="0" applyNumberFormat="1" applyFont="1"/>
    <xf numFmtId="176" fontId="8" fillId="0" borderId="0" xfId="0" applyNumberFormat="1" applyFont="1"/>
    <xf numFmtId="180" fontId="8" fillId="0" borderId="0" xfId="0" applyNumberFormat="1" applyFont="1"/>
    <xf numFmtId="49" fontId="8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7" fontId="20" fillId="0" borderId="0" xfId="0" applyNumberFormat="1" applyFont="1"/>
    <xf numFmtId="177" fontId="8" fillId="0" borderId="0" xfId="0" applyNumberFormat="1" applyFont="1" applyProtection="1">
      <protection locked="0"/>
    </xf>
    <xf numFmtId="177" fontId="17" fillId="0" borderId="0" xfId="0" applyNumberFormat="1" applyFont="1"/>
    <xf numFmtId="177" fontId="21" fillId="0" borderId="0" xfId="0" applyNumberFormat="1" applyFont="1" applyAlignment="1">
      <alignment horizontal="center" vertical="top" wrapText="1"/>
    </xf>
    <xf numFmtId="177" fontId="21" fillId="0" borderId="9" xfId="0" applyNumberFormat="1" applyFont="1" applyBorder="1" applyAlignment="1">
      <alignment horizontal="center" vertical="top" wrapText="1"/>
    </xf>
    <xf numFmtId="40" fontId="9" fillId="7" borderId="1" xfId="0" applyNumberFormat="1" applyFont="1" applyFill="1" applyBorder="1"/>
    <xf numFmtId="181" fontId="12" fillId="7" borderId="3" xfId="0" applyNumberFormat="1" applyFont="1" applyFill="1" applyBorder="1" applyAlignment="1">
      <alignment vertical="center"/>
    </xf>
    <xf numFmtId="181" fontId="12" fillId="6" borderId="3" xfId="0" applyNumberFormat="1" applyFont="1" applyFill="1" applyBorder="1" applyAlignment="1" applyProtection="1">
      <alignment vertical="center"/>
      <protection locked="0"/>
    </xf>
    <xf numFmtId="40" fontId="10" fillId="2" borderId="6" xfId="0" applyNumberFormat="1" applyFont="1" applyFill="1" applyBorder="1"/>
    <xf numFmtId="4" fontId="9" fillId="2" borderId="4" xfId="0" applyNumberFormat="1" applyFont="1" applyFill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17" fillId="0" borderId="0" xfId="0" applyNumberFormat="1" applyFont="1" applyAlignment="1">
      <alignment vertical="center"/>
    </xf>
    <xf numFmtId="177" fontId="16" fillId="0" borderId="2" xfId="0" applyNumberFormat="1" applyFont="1" applyBorder="1" applyAlignment="1">
      <alignment vertical="center"/>
    </xf>
    <xf numFmtId="182" fontId="8" fillId="0" borderId="0" xfId="0" applyNumberFormat="1" applyFont="1" applyAlignment="1">
      <alignment vertical="center"/>
    </xf>
    <xf numFmtId="4" fontId="10" fillId="2" borderId="8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7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11" fillId="7" borderId="3" xfId="0" applyNumberFormat="1" applyFont="1" applyFill="1" applyBorder="1" applyAlignment="1">
      <alignment horizontal="right" vertical="center" wrapText="1"/>
    </xf>
    <xf numFmtId="40" fontId="9" fillId="2" borderId="4" xfId="0" applyNumberFormat="1" applyFont="1" applyFill="1" applyBorder="1" applyAlignment="1">
      <alignment vertical="center"/>
    </xf>
    <xf numFmtId="40" fontId="10" fillId="2" borderId="8" xfId="0" applyNumberFormat="1" applyFont="1" applyFill="1" applyBorder="1" applyAlignment="1">
      <alignment vertical="center"/>
    </xf>
    <xf numFmtId="38" fontId="12" fillId="4" borderId="5" xfId="0" applyNumberFormat="1" applyFont="1" applyFill="1" applyBorder="1" applyAlignment="1">
      <alignment vertical="center"/>
    </xf>
    <xf numFmtId="177" fontId="8" fillId="0" borderId="0" xfId="0" applyNumberFormat="1" applyFont="1" applyBorder="1"/>
    <xf numFmtId="176" fontId="11" fillId="11" borderId="3" xfId="0" applyNumberFormat="1" applyFont="1" applyFill="1" applyBorder="1" applyAlignment="1" applyProtection="1">
      <alignment horizontal="right" vertical="center" wrapText="1"/>
    </xf>
    <xf numFmtId="177" fontId="22" fillId="0" borderId="0" xfId="0" applyNumberFormat="1" applyFont="1" applyAlignment="1">
      <alignment horizontal="center"/>
    </xf>
    <xf numFmtId="177" fontId="22" fillId="0" borderId="0" xfId="0" applyNumberFormat="1" applyFont="1" applyAlignment="1">
      <alignment horizontal="center" vertical="top" wrapText="1"/>
    </xf>
    <xf numFmtId="184" fontId="8" fillId="5" borderId="3" xfId="2" applyNumberFormat="1" applyFont="1" applyFill="1" applyBorder="1" applyAlignment="1" applyProtection="1">
      <alignment horizontal="right" vertical="center"/>
      <protection locked="0"/>
    </xf>
    <xf numFmtId="177" fontId="22" fillId="0" borderId="0" xfId="0" applyNumberFormat="1" applyFont="1" applyBorder="1" applyAlignment="1">
      <alignment horizontal="center"/>
    </xf>
    <xf numFmtId="177" fontId="5" fillId="0" borderId="0" xfId="0" applyNumberFormat="1" applyFont="1" applyProtection="1">
      <protection locked="0"/>
    </xf>
    <xf numFmtId="40" fontId="9" fillId="5" borderId="3" xfId="0" applyNumberFormat="1" applyFont="1" applyFill="1" applyBorder="1" applyProtection="1">
      <protection locked="0"/>
    </xf>
    <xf numFmtId="40" fontId="10" fillId="5" borderId="3" xfId="0" applyNumberFormat="1" applyFont="1" applyFill="1" applyBorder="1" applyProtection="1">
      <protection locked="0"/>
    </xf>
    <xf numFmtId="4" fontId="9" fillId="5" borderId="3" xfId="0" applyNumberFormat="1" applyFont="1" applyFill="1" applyBorder="1" applyProtection="1">
      <protection locked="0"/>
    </xf>
    <xf numFmtId="4" fontId="10" fillId="5" borderId="3" xfId="0" applyNumberFormat="1" applyFont="1" applyFill="1" applyBorder="1" applyProtection="1">
      <protection locked="0"/>
    </xf>
    <xf numFmtId="0" fontId="6" fillId="0" borderId="11" xfId="1" applyFont="1" applyBorder="1" applyAlignment="1" applyProtection="1">
      <alignment vertical="center"/>
    </xf>
    <xf numFmtId="0" fontId="0" fillId="0" borderId="11" xfId="0" applyBorder="1"/>
    <xf numFmtId="177" fontId="11" fillId="8" borderId="6" xfId="0" applyNumberFormat="1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77" fontId="11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177" fontId="22" fillId="0" borderId="0" xfId="0" applyNumberFormat="1" applyFont="1" applyBorder="1" applyAlignment="1">
      <alignment horizontal="center"/>
    </xf>
    <xf numFmtId="177" fontId="23" fillId="0" borderId="0" xfId="1" applyNumberFormat="1" applyFont="1" applyAlignment="1" applyProtection="1">
      <alignment horizontal="center"/>
    </xf>
    <xf numFmtId="177" fontId="14" fillId="0" borderId="10" xfId="0" applyNumberFormat="1" applyFont="1" applyBorder="1" applyAlignment="1">
      <alignment horizontal="left" vertical="center"/>
    </xf>
    <xf numFmtId="177" fontId="14" fillId="0" borderId="7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83" fontId="11" fillId="9" borderId="6" xfId="0" applyNumberFormat="1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12" borderId="2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left" vertical="center" wrapText="1"/>
    </xf>
    <xf numFmtId="177" fontId="16" fillId="0" borderId="2" xfId="0" applyNumberFormat="1" applyFont="1" applyBorder="1" applyAlignment="1">
      <alignment horizontal="left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183" fontId="11" fillId="10" borderId="6" xfId="0" applyNumberFormat="1" applyFont="1" applyFill="1" applyBorder="1" applyAlignment="1">
      <alignment vertical="center"/>
    </xf>
    <xf numFmtId="0" fontId="18" fillId="10" borderId="6" xfId="0" applyFont="1" applyFill="1" applyBorder="1" applyAlignment="1">
      <alignment vertical="center"/>
    </xf>
    <xf numFmtId="177" fontId="15" fillId="0" borderId="0" xfId="1" applyNumberFormat="1" applyFont="1" applyAlignment="1" applyProtection="1">
      <alignment horizontal="center"/>
    </xf>
    <xf numFmtId="176" fontId="11" fillId="8" borderId="6" xfId="0" applyNumberFormat="1" applyFont="1" applyFill="1" applyBorder="1" applyAlignment="1">
      <alignment vertical="center"/>
    </xf>
    <xf numFmtId="176" fontId="0" fillId="8" borderId="6" xfId="0" applyNumberFormat="1" applyFill="1" applyBorder="1" applyAlignment="1">
      <alignment vertical="center"/>
    </xf>
    <xf numFmtId="177" fontId="22" fillId="0" borderId="0" xfId="0" applyNumberFormat="1" applyFont="1" applyAlignment="1">
      <alignment horizontal="center"/>
    </xf>
    <xf numFmtId="182" fontId="24" fillId="0" borderId="0" xfId="0" applyNumberFormat="1" applyFont="1" applyAlignment="1">
      <alignment horizontal="center"/>
    </xf>
    <xf numFmtId="177" fontId="22" fillId="0" borderId="0" xfId="0" applyNumberFormat="1" applyFont="1" applyAlignment="1">
      <alignment horizontal="center" vertical="top" wrapText="1"/>
    </xf>
  </cellXfs>
  <cellStyles count="3">
    <cellStyle name="一般" xfId="0" builtinId="0"/>
    <cellStyle name="貨幣" xfId="2" builtinId="4"/>
    <cellStyle name="超連結" xfId="1" builtinId="8"/>
  </cellStyles>
  <dxfs count="0"/>
  <tableStyles count="0" defaultTableStyle="TableStyleMedium9" defaultPivotStyle="PivotStyleLight16"/>
  <colors>
    <mruColors>
      <color rgb="FF99FF99"/>
      <color rgb="FF99FFCC"/>
      <color rgb="FF99FF33"/>
      <color rgb="FFFBC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'　　全年　　'!$L$9" lockText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'　　全年　　'!$L$4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L$9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firstButton="1" fmlaLink="$L$4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　　全年　　'!$L$4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'　　全年　　'!$L$9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47625</xdr:rowOff>
        </xdr:from>
        <xdr:to>
          <xdr:col>2</xdr:col>
          <xdr:colOff>180975</xdr:colOff>
          <xdr:row>5</xdr:row>
          <xdr:rowOff>228600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28575</xdr:rowOff>
        </xdr:from>
        <xdr:to>
          <xdr:col>2</xdr:col>
          <xdr:colOff>161925</xdr:colOff>
          <xdr:row>6</xdr:row>
          <xdr:rowOff>238125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28575</xdr:rowOff>
        </xdr:from>
        <xdr:to>
          <xdr:col>2</xdr:col>
          <xdr:colOff>171450</xdr:colOff>
          <xdr:row>7</xdr:row>
          <xdr:rowOff>209550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3</xdr:row>
          <xdr:rowOff>0</xdr:rowOff>
        </xdr:from>
        <xdr:to>
          <xdr:col>9</xdr:col>
          <xdr:colOff>1495425</xdr:colOff>
          <xdr:row>4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180975</xdr:rowOff>
        </xdr:from>
        <xdr:to>
          <xdr:col>9</xdr:col>
          <xdr:colOff>952500</xdr:colOff>
          <xdr:row>3</xdr:row>
          <xdr:rowOff>419100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180975</xdr:rowOff>
        </xdr:from>
        <xdr:to>
          <xdr:col>9</xdr:col>
          <xdr:colOff>1304925</xdr:colOff>
          <xdr:row>3</xdr:row>
          <xdr:rowOff>419100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47625</xdr:rowOff>
        </xdr:from>
        <xdr:to>
          <xdr:col>2</xdr:col>
          <xdr:colOff>180975</xdr:colOff>
          <xdr:row>5</xdr:row>
          <xdr:rowOff>228600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28575</xdr:rowOff>
        </xdr:from>
        <xdr:to>
          <xdr:col>2</xdr:col>
          <xdr:colOff>161925</xdr:colOff>
          <xdr:row>6</xdr:row>
          <xdr:rowOff>238125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28575</xdr:rowOff>
        </xdr:from>
        <xdr:to>
          <xdr:col>2</xdr:col>
          <xdr:colOff>171450</xdr:colOff>
          <xdr:row>7</xdr:row>
          <xdr:rowOff>209550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</xdr:row>
          <xdr:rowOff>0</xdr:rowOff>
        </xdr:from>
        <xdr:to>
          <xdr:col>9</xdr:col>
          <xdr:colOff>1495425</xdr:colOff>
          <xdr:row>3</xdr:row>
          <xdr:rowOff>381000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76200</xdr:rowOff>
        </xdr:from>
        <xdr:to>
          <xdr:col>9</xdr:col>
          <xdr:colOff>952500</xdr:colOff>
          <xdr:row>3</xdr:row>
          <xdr:rowOff>314325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66675</xdr:rowOff>
        </xdr:from>
        <xdr:to>
          <xdr:col>9</xdr:col>
          <xdr:colOff>1304925</xdr:colOff>
          <xdr:row>3</xdr:row>
          <xdr:rowOff>304800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3</xdr:row>
          <xdr:rowOff>0</xdr:rowOff>
        </xdr:from>
        <xdr:to>
          <xdr:col>9</xdr:col>
          <xdr:colOff>1495425</xdr:colOff>
          <xdr:row>4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19050</xdr:rowOff>
        </xdr:from>
        <xdr:to>
          <xdr:col>2</xdr:col>
          <xdr:colOff>142875</xdr:colOff>
          <xdr:row>6</xdr:row>
          <xdr:rowOff>9525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9525</xdr:rowOff>
        </xdr:from>
        <xdr:to>
          <xdr:col>2</xdr:col>
          <xdr:colOff>142875</xdr:colOff>
          <xdr:row>7</xdr:row>
          <xdr:rowOff>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0</xdr:rowOff>
        </xdr:from>
        <xdr:to>
          <xdr:col>2</xdr:col>
          <xdr:colOff>142875</xdr:colOff>
          <xdr:row>7</xdr:row>
          <xdr:rowOff>238125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180975</xdr:rowOff>
        </xdr:from>
        <xdr:to>
          <xdr:col>9</xdr:col>
          <xdr:colOff>952500</xdr:colOff>
          <xdr:row>3</xdr:row>
          <xdr:rowOff>419100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180975</xdr:rowOff>
        </xdr:from>
        <xdr:to>
          <xdr:col>9</xdr:col>
          <xdr:colOff>1304925</xdr:colOff>
          <xdr:row>3</xdr:row>
          <xdr:rowOff>419100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5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11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0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17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16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  <pageSetUpPr fitToPage="1"/>
  </sheetPr>
  <dimension ref="A1:XFC51"/>
  <sheetViews>
    <sheetView showGridLines="0" showRowColHeaders="0" tabSelected="1" workbookViewId="0">
      <selection activeCell="J9" sqref="J9"/>
    </sheetView>
  </sheetViews>
  <sheetFormatPr defaultColWidth="0" defaultRowHeight="0" customHeight="1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2" style="1" customWidth="1"/>
    <col min="12" max="16382" width="4.375" style="1" hidden="1"/>
    <col min="16383" max="16383" width="5.125" style="1" hidden="1"/>
    <col min="16384" max="16384" width="10.25" style="1" hidden="1"/>
  </cols>
  <sheetData>
    <row r="1" spans="2:254" ht="25.5" x14ac:dyDescent="0.4">
      <c r="B1" s="20" t="s">
        <v>54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2:254" s="10" customFormat="1" ht="25.5" x14ac:dyDescent="0.4">
      <c r="B2" s="94" t="str">
        <f>L11</f>
        <v>(已选择 - 65岁以下)</v>
      </c>
      <c r="C2" s="94"/>
      <c r="D2" s="94"/>
      <c r="E2" s="94"/>
      <c r="F2" s="94"/>
      <c r="G2" s="94"/>
      <c r="H2" s="94"/>
      <c r="I2" s="94"/>
      <c r="J2" s="94"/>
    </row>
    <row r="3" spans="2:254" s="5" customFormat="1" ht="19.5" x14ac:dyDescent="0.3">
      <c r="B3" s="93" t="str">
        <f>L12</f>
        <v/>
      </c>
      <c r="C3" s="93"/>
      <c r="D3" s="93"/>
      <c r="E3" s="93"/>
      <c r="F3" s="93"/>
      <c r="G3" s="93"/>
      <c r="H3" s="93"/>
      <c r="I3" s="93"/>
      <c r="J3" s="93"/>
    </row>
    <row r="4" spans="2:254" s="5" customFormat="1" ht="45" customHeight="1" x14ac:dyDescent="0.3">
      <c r="B4" s="76"/>
      <c r="C4" s="76"/>
      <c r="D4" s="101" t="s">
        <v>26</v>
      </c>
      <c r="E4" s="102"/>
      <c r="F4" s="102"/>
      <c r="G4" s="102"/>
      <c r="H4" s="102"/>
      <c r="I4" s="102"/>
      <c r="J4" s="75"/>
    </row>
    <row r="5" spans="2:254" s="5" customFormat="1" ht="19.5" x14ac:dyDescent="0.25">
      <c r="B5" s="51"/>
      <c r="C5" s="52"/>
      <c r="D5" s="103" t="s">
        <v>29</v>
      </c>
      <c r="E5" s="104"/>
      <c r="F5" s="104"/>
      <c r="G5" s="104"/>
      <c r="H5" s="104"/>
      <c r="I5" s="104"/>
      <c r="J5" s="72">
        <v>2026</v>
      </c>
      <c r="M5" s="5">
        <v>2020</v>
      </c>
    </row>
    <row r="6" spans="2:254" s="5" customFormat="1" ht="19.5" customHeight="1" x14ac:dyDescent="0.25">
      <c r="D6" s="97" t="str">
        <f>'　　全年　　'!M24</f>
        <v>65岁以下</v>
      </c>
      <c r="E6" s="92"/>
      <c r="F6" s="92"/>
      <c r="G6" s="92"/>
      <c r="H6" s="92"/>
      <c r="I6" s="92"/>
      <c r="J6" s="98"/>
    </row>
    <row r="7" spans="2:254" s="5" customFormat="1" ht="19.5" x14ac:dyDescent="0.25">
      <c r="D7" s="97" t="str">
        <f>'　　全年　　'!N24</f>
        <v>2026年度刚满65岁</v>
      </c>
      <c r="E7" s="92"/>
      <c r="F7" s="99" t="str">
        <f ca="1">'　　全年　　'!N27</f>
        <v/>
      </c>
      <c r="G7" s="85"/>
      <c r="H7" s="85"/>
      <c r="I7" s="85"/>
      <c r="J7" s="55"/>
    </row>
    <row r="8" spans="2:254" s="5" customFormat="1" ht="19.5" x14ac:dyDescent="0.25">
      <c r="B8" s="46"/>
      <c r="C8" s="47"/>
      <c r="D8" s="100" t="str">
        <f>'　　全年　　'!O24</f>
        <v>65岁以上/残疾人士</v>
      </c>
      <c r="E8" s="92"/>
      <c r="F8" s="92"/>
      <c r="G8" s="92"/>
      <c r="H8" s="92"/>
      <c r="I8" s="92"/>
      <c r="J8" s="98"/>
    </row>
    <row r="9" spans="2:254" s="11" customFormat="1" ht="16.5" x14ac:dyDescent="0.25">
      <c r="B9" s="84" t="s">
        <v>55</v>
      </c>
      <c r="C9" s="85"/>
      <c r="D9" s="85"/>
      <c r="E9" s="85"/>
      <c r="F9" s="85"/>
      <c r="G9" s="85"/>
      <c r="H9" s="85"/>
      <c r="I9" s="85"/>
      <c r="J9" s="78"/>
    </row>
    <row r="10" spans="2:254" s="11" customFormat="1" ht="16.5" x14ac:dyDescent="0.25">
      <c r="B10" s="84" t="s">
        <v>35</v>
      </c>
      <c r="C10" s="91"/>
      <c r="D10" s="91"/>
      <c r="E10" s="91"/>
      <c r="F10" s="91"/>
      <c r="G10" s="91"/>
      <c r="H10" s="91"/>
      <c r="I10" s="91"/>
      <c r="J10" s="79"/>
    </row>
    <row r="11" spans="2:254" s="11" customFormat="1" ht="16.5" x14ac:dyDescent="0.25">
      <c r="B11" s="86" t="s">
        <v>36</v>
      </c>
      <c r="C11" s="92"/>
      <c r="D11" s="92"/>
      <c r="E11" s="92"/>
      <c r="F11" s="92"/>
      <c r="G11" s="92"/>
      <c r="H11" s="92"/>
      <c r="I11" s="92"/>
      <c r="J11" s="56">
        <f>(J9-J10)*25%</f>
        <v>0</v>
      </c>
      <c r="L11" s="11" t="str">
        <f>"("&amp;'　　全年　　'!O7&amp;")"</f>
        <v>(已选择 - 65岁以下)</v>
      </c>
    </row>
    <row r="12" spans="2:254" s="11" customFormat="1" ht="30.4" hidden="1" customHeight="1" x14ac:dyDescent="0.25">
      <c r="B12" s="86" t="s">
        <v>56</v>
      </c>
      <c r="C12" s="85"/>
      <c r="D12" s="85"/>
      <c r="E12" s="85"/>
      <c r="F12" s="85"/>
      <c r="G12" s="85"/>
      <c r="H12" s="85"/>
      <c r="I12" s="85"/>
      <c r="J12" s="16">
        <f>SUM(J10:J11)</f>
        <v>0</v>
      </c>
      <c r="L12" s="48" t="str">
        <f>'　　全年　　'!N7</f>
        <v/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2:254" s="11" customFormat="1" ht="16.5" x14ac:dyDescent="0.25">
      <c r="B13" s="86" t="s">
        <v>57</v>
      </c>
      <c r="C13" s="85"/>
      <c r="D13" s="85"/>
      <c r="E13" s="85"/>
      <c r="F13" s="85"/>
      <c r="G13" s="85"/>
      <c r="H13" s="85"/>
      <c r="I13" s="85"/>
      <c r="J13" s="35">
        <f>J9-J12</f>
        <v>0</v>
      </c>
    </row>
    <row r="14" spans="2:254" s="11" customFormat="1" ht="7.5" customHeight="1" x14ac:dyDescent="0.25">
      <c r="J14" s="21"/>
    </row>
    <row r="15" spans="2:254" s="11" customFormat="1" ht="15.75" x14ac:dyDescent="0.25">
      <c r="D15" s="34" t="s">
        <v>1</v>
      </c>
      <c r="E15" s="34" t="s">
        <v>2</v>
      </c>
      <c r="F15" s="34" t="s">
        <v>39</v>
      </c>
      <c r="G15" s="34" t="s">
        <v>40</v>
      </c>
      <c r="H15" s="34" t="s">
        <v>41</v>
      </c>
      <c r="I15" s="34" t="s">
        <v>42</v>
      </c>
    </row>
    <row r="16" spans="2:254" s="11" customFormat="1" ht="15.75" x14ac:dyDescent="0.25">
      <c r="D16" s="18">
        <v>0</v>
      </c>
      <c r="E16" s="18">
        <f>'　　全年　　'!E16/12</f>
        <v>12000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</row>
    <row r="17" spans="2:11" s="11" customFormat="1" ht="15.75" x14ac:dyDescent="0.25">
      <c r="D17" s="18">
        <f>E16+0.01</f>
        <v>12000.01</v>
      </c>
      <c r="E17" s="18">
        <f>'　　全年　　'!E17/12</f>
        <v>13666.666666666666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</row>
    <row r="18" spans="2:11" s="11" customFormat="1" ht="15.75" x14ac:dyDescent="0.25">
      <c r="D18" s="18">
        <f>E17+0.01</f>
        <v>13666.676666666666</v>
      </c>
      <c r="E18" s="18">
        <f>'　　全年　　'!E18/12</f>
        <v>15333.333333333334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</row>
    <row r="19" spans="2:11" s="11" customFormat="1" ht="15.75" x14ac:dyDescent="0.25">
      <c r="D19" s="18">
        <f>E18+0.01</f>
        <v>15333.343333333334</v>
      </c>
      <c r="E19" s="18">
        <f>'　　全年　　'!E19/12</f>
        <v>18666.666666666668</v>
      </c>
      <c r="F19" s="12">
        <v>0.09</v>
      </c>
      <c r="G19" s="19">
        <f>MIN(E19-E18,$J$13-SUM($G$16:G18))</f>
        <v>0</v>
      </c>
      <c r="H19" s="19">
        <f>IF(G19=0,0,ROUNDDOWN(G19*F19-(SUM($H$17:H18)-G18*F18-G17*F17),2))</f>
        <v>0</v>
      </c>
      <c r="I19" s="19">
        <f t="shared" si="0"/>
        <v>0</v>
      </c>
    </row>
    <row r="20" spans="2:11" s="11" customFormat="1" ht="15.75" x14ac:dyDescent="0.25">
      <c r="D20" s="18">
        <f>E19+0.01</f>
        <v>18666.676666666666</v>
      </c>
      <c r="E20" s="18">
        <f>'　　全年　　'!E20/12</f>
        <v>25333.333333333332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19">
        <f t="shared" si="0"/>
        <v>0</v>
      </c>
    </row>
    <row r="21" spans="2:11" s="11" customFormat="1" ht="15.75" x14ac:dyDescent="0.25">
      <c r="D21" s="18">
        <f>E20+0.01</f>
        <v>25333.343333333331</v>
      </c>
      <c r="E21" s="18">
        <f>'　　全年　　'!E21/12</f>
        <v>35333.333333333336</v>
      </c>
      <c r="F21" s="12">
        <v>0.11</v>
      </c>
      <c r="G21" s="19">
        <f>MIN(E21-E20,$J$13-SUM($G$16:G20))</f>
        <v>0</v>
      </c>
      <c r="H21" s="19">
        <f>IF(G21=0,0,ROUNDDOWN(G21*F21-(SUM($H$17:H20)-G20*F20-G19*F19-G18*F18-G17*F17),2))</f>
        <v>0</v>
      </c>
      <c r="I21" s="19">
        <f t="shared" si="0"/>
        <v>0</v>
      </c>
    </row>
    <row r="22" spans="2:11" s="11" customFormat="1" ht="15.75" x14ac:dyDescent="0.25">
      <c r="C22" s="13"/>
      <c r="D22" s="14"/>
      <c r="E22" s="15" t="str">
        <f>FIXED(E21,2,FALSE) &amp; " 以上"</f>
        <v>35,333.33 以上</v>
      </c>
      <c r="F22" s="12">
        <v>0.12</v>
      </c>
      <c r="G22" s="19">
        <f>$J$13-SUM($G$16:G21)</f>
        <v>0</v>
      </c>
      <c r="H22" s="19">
        <f>IF(G22=0,0,ROUNDDOWN(G22*F22-(SUM($H$17:H21)-G21*F21-G20*F20-G19*F19-G18*F18-G17*F17),2))</f>
        <v>0</v>
      </c>
      <c r="I22" s="19">
        <f t="shared" si="0"/>
        <v>0</v>
      </c>
    </row>
    <row r="23" spans="2:11" s="11" customFormat="1" ht="7.5" customHeight="1" x14ac:dyDescent="0.25">
      <c r="B23" s="22"/>
      <c r="C23" s="24"/>
      <c r="D23" s="24"/>
      <c r="E23" s="25"/>
      <c r="F23" s="26"/>
      <c r="G23" s="27"/>
      <c r="H23" s="28"/>
      <c r="I23" s="28"/>
      <c r="J23" s="22"/>
    </row>
    <row r="24" spans="2:11" s="11" customFormat="1" ht="16.5" x14ac:dyDescent="0.25">
      <c r="B24" s="86" t="s">
        <v>58</v>
      </c>
      <c r="C24" s="85"/>
      <c r="D24" s="85"/>
      <c r="E24" s="85"/>
      <c r="F24" s="85"/>
      <c r="G24" s="85"/>
      <c r="H24" s="85"/>
      <c r="I24" s="85"/>
      <c r="J24" s="17">
        <f>ROUNDDOWN(MAX(I16:I22),2)</f>
        <v>0</v>
      </c>
    </row>
    <row r="25" spans="2:11" s="11" customFormat="1" ht="17.25" thickBot="1" x14ac:dyDescent="0.3">
      <c r="B25" s="87" t="s">
        <v>46</v>
      </c>
      <c r="C25" s="88"/>
      <c r="D25" s="88"/>
      <c r="E25" s="88"/>
      <c r="F25" s="88"/>
      <c r="G25" s="88"/>
      <c r="H25" s="88"/>
      <c r="I25" s="88"/>
      <c r="J25" s="41">
        <f>ROUNDDOWN(J24*30%,2)</f>
        <v>0</v>
      </c>
    </row>
    <row r="26" spans="2:11" s="11" customFormat="1" ht="17.25" thickBot="1" x14ac:dyDescent="0.3">
      <c r="B26" s="89" t="s">
        <v>59</v>
      </c>
      <c r="C26" s="90"/>
      <c r="D26" s="90"/>
      <c r="E26" s="90"/>
      <c r="F26" s="90"/>
      <c r="G26" s="90"/>
      <c r="H26" s="90"/>
      <c r="I26" s="90"/>
      <c r="J26" s="23">
        <f>ROUNDUP(J24-J25,0)</f>
        <v>0</v>
      </c>
    </row>
    <row r="27" spans="2:11" s="11" customFormat="1" ht="16.5" thickTop="1" x14ac:dyDescent="0.25">
      <c r="B27" s="39" t="s">
        <v>11</v>
      </c>
      <c r="C27" s="95" t="s">
        <v>48</v>
      </c>
      <c r="D27" s="95"/>
      <c r="E27" s="95"/>
      <c r="F27" s="95"/>
      <c r="G27" s="95"/>
      <c r="H27" s="95"/>
      <c r="I27" s="95"/>
      <c r="J27" s="95"/>
    </row>
    <row r="28" spans="2:11" s="11" customFormat="1" ht="16.5" thickBot="1" x14ac:dyDescent="0.3">
      <c r="B28" s="40" t="s">
        <v>13</v>
      </c>
      <c r="C28" s="96" t="s">
        <v>49</v>
      </c>
      <c r="D28" s="96"/>
      <c r="E28" s="96"/>
      <c r="F28" s="96"/>
      <c r="G28" s="96"/>
      <c r="H28" s="96"/>
      <c r="I28" s="96"/>
      <c r="J28" s="96"/>
    </row>
    <row r="29" spans="2:11" s="11" customFormat="1" ht="16.5" x14ac:dyDescent="0.25">
      <c r="B29" s="82" t="s">
        <v>50</v>
      </c>
      <c r="C29" s="83"/>
      <c r="D29" s="83"/>
      <c r="E29" s="83"/>
      <c r="F29" s="83"/>
      <c r="G29" s="83"/>
      <c r="H29" s="83"/>
      <c r="I29" s="83"/>
      <c r="J29" s="83"/>
    </row>
    <row r="30" spans="2:11" ht="16.5" hidden="1" x14ac:dyDescent="0.25">
      <c r="B30" s="6" t="s">
        <v>51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</row>
    <row r="31" spans="2:11" ht="16.5" hidden="1" x14ac:dyDescent="0.25">
      <c r="B31" s="7"/>
      <c r="C31" s="7" t="s">
        <v>52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</row>
    <row r="32" spans="2:11" ht="16.5" hidden="1" x14ac:dyDescent="0.25">
      <c r="B32" s="6" t="s">
        <v>53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</row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customHeight="1" x14ac:dyDescent="0.25"/>
    <row r="39" ht="16.5" hidden="1" customHeight="1" x14ac:dyDescent="0.25"/>
    <row r="40" ht="16.5" hidden="1" customHeight="1" x14ac:dyDescent="0.25"/>
    <row r="41" ht="16.5" hidden="1" customHeight="1" x14ac:dyDescent="0.25"/>
    <row r="42" ht="16.5" hidden="1" customHeight="1" x14ac:dyDescent="0.25"/>
    <row r="43" ht="16.5" hidden="1" customHeight="1" x14ac:dyDescent="0.25"/>
    <row r="44" ht="16.5" hidden="1" customHeight="1" x14ac:dyDescent="0.25"/>
    <row r="45" ht="16.5" hidden="1" customHeight="1" x14ac:dyDescent="0.25"/>
    <row r="46" ht="16.5" hidden="1" customHeight="1" x14ac:dyDescent="0.25"/>
    <row r="47" ht="16.5" hidden="1" customHeight="1" x14ac:dyDescent="0.25"/>
    <row r="48" ht="16.5" hidden="1" customHeight="1" x14ac:dyDescent="0.25"/>
    <row r="49" ht="16.5" hidden="1" customHeight="1" x14ac:dyDescent="0.25"/>
    <row r="50" ht="16.5" hidden="1" customHeight="1" x14ac:dyDescent="0.25"/>
    <row r="51" ht="16.5" hidden="1" customHeight="1" x14ac:dyDescent="0.25"/>
  </sheetData>
  <sheetProtection sheet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19">
    <mergeCell ref="B3:J3"/>
    <mergeCell ref="B2:J2"/>
    <mergeCell ref="C27:J27"/>
    <mergeCell ref="C28:J28"/>
    <mergeCell ref="D6:J6"/>
    <mergeCell ref="D7:E7"/>
    <mergeCell ref="F7:I7"/>
    <mergeCell ref="D8:J8"/>
    <mergeCell ref="D4:I4"/>
    <mergeCell ref="D5:I5"/>
    <mergeCell ref="B29:J29"/>
    <mergeCell ref="B9:I9"/>
    <mergeCell ref="B12:I12"/>
    <mergeCell ref="B13:I13"/>
    <mergeCell ref="B24:I24"/>
    <mergeCell ref="B25:I25"/>
    <mergeCell ref="B26:I26"/>
    <mergeCell ref="B10:I10"/>
    <mergeCell ref="B11:I11"/>
  </mergeCells>
  <phoneticPr fontId="1" type="noConversion"/>
  <dataValidations xWindow="806" yWindow="258" count="3">
    <dataValidation type="whole" operator="greaterThanOrEqual" allowBlank="1" showErrorMessage="1" errorTitle="年度错误:" error="計算年度必須大於2018。" promptTitle="计算年度:" prompt="請输入欲計算稅款之年度。" sqref="J5" xr:uid="{00000000-0002-0000-0000-000000000000}">
      <formula1>2019</formula1>
    </dataValidation>
    <dataValidation type="decimal" allowBlank="1" showInputMessage="1" showErrorMessage="1" errorTitle="注意：" error="金額不能大於每月總收益。" promptTitle="每月不课税收益" prompt="金額不能大於每月總收益。" sqref="J10" xr:uid="{00000000-0002-0000-0000-000001000000}">
      <formula1>0</formula1>
      <formula2>J9</formula2>
    </dataValidation>
    <dataValidation type="decimal" allowBlank="1" showInputMessage="1" showErrorMessage="1" errorTitle="注意：" error="１．請輸入不少於零的數字金額．_x000a_２．金額不能小於每月不課稅收益．" promptTitle="每月收益" prompt="金額必須包括不課稅收益。" sqref="J9" xr:uid="{00000000-0002-0000-0000-000002000000}">
      <formula1>J10</formula1>
      <formula2>999999999999</formula2>
    </dataValidation>
  </dataValidations>
  <hyperlinks>
    <hyperlink ref="B29" r:id="rId2" display="有關房屋稅之詳細資料，請瀏覽財政局網 http://www.dsf.gov.mo" xr:uid="{00000000-0004-0000-00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7" name="Option Button 37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47625</xdr:rowOff>
                  </from>
                  <to>
                    <xdr:col>2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28575</xdr:rowOff>
                  </from>
                  <to>
                    <xdr:col>2</xdr:col>
                    <xdr:colOff>161925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Option Button 39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28575</xdr:rowOff>
                  </from>
                  <to>
                    <xdr:col>2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Group Box 40">
              <controlPr defaultSize="0" autoFill="0" autoPict="0">
                <anchor moveWithCells="1">
                  <from>
                    <xdr:col>8</xdr:col>
                    <xdr:colOff>990600</xdr:colOff>
                    <xdr:row>3</xdr:row>
                    <xdr:rowOff>0</xdr:rowOff>
                  </from>
                  <to>
                    <xdr:col>9</xdr:col>
                    <xdr:colOff>1495425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Option Button 41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180975</xdr:rowOff>
                  </from>
                  <to>
                    <xdr:col>9</xdr:col>
                    <xdr:colOff>952500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Option Button 42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180975</xdr:rowOff>
                  </from>
                  <to>
                    <xdr:col>9</xdr:col>
                    <xdr:colOff>1304925</xdr:colOff>
                    <xdr:row>3</xdr:row>
                    <xdr:rowOff>419100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06" yWindow="258" count="1">
        <x14:dataValidation type="date" allowBlank="1" showInputMessage="1" showErrorMessage="1" errorTitle="出生日期错误：" error="- 格式必須為年/月/日_x000a_- 年份必須為於計算年度剛滿65歲" promptTitle="输入计算年度刚满65岁人仕之出生日期：" prompt="格式必須為年/月/日" xr:uid="{00000000-0002-0000-0000-000003000000}">
          <x14:formula1>
            <xm:f>'　　全年　　'!M27</xm:f>
          </x14:formula1>
          <x14:formula2>
            <xm:f>'　　全年　　'!M28</xm:f>
          </x14:formula2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theme="4" tint="0.39997558519241921"/>
    <pageSetUpPr fitToPage="1"/>
  </sheetPr>
  <dimension ref="A1:M50"/>
  <sheetViews>
    <sheetView showGridLines="0" showRowColHeaders="0" workbookViewId="0">
      <selection activeCell="J9" sqref="J9"/>
    </sheetView>
  </sheetViews>
  <sheetFormatPr defaultColWidth="0" defaultRowHeight="0" customHeight="1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1.75" style="1" customWidth="1"/>
    <col min="12" max="12" width="9.125" style="1" hidden="1" customWidth="1"/>
    <col min="13" max="16384" width="9" style="1" hidden="1"/>
  </cols>
  <sheetData>
    <row r="1" spans="2:13" ht="25.5" x14ac:dyDescent="0.4">
      <c r="B1" s="20" t="str">
        <f>IF(J5="","年度季度職業稅之模擬計算",J5&amp;"年度季度職業稅之模擬計算")</f>
        <v>2026年度季度職業稅之模擬計算</v>
      </c>
      <c r="C1" s="2"/>
      <c r="D1" s="2"/>
      <c r="E1" s="2"/>
      <c r="F1" s="2"/>
      <c r="G1" s="2"/>
      <c r="H1" s="2"/>
      <c r="I1" s="2"/>
      <c r="J1" s="2"/>
      <c r="K1" s="3"/>
      <c r="L1" s="3"/>
    </row>
    <row r="2" spans="2:13" s="10" customFormat="1" ht="25.5" x14ac:dyDescent="0.4">
      <c r="B2" s="107" t="str">
        <f>L10</f>
        <v>(已选择 - 65岁以下)</v>
      </c>
      <c r="C2" s="107"/>
      <c r="D2" s="107"/>
      <c r="E2" s="107"/>
      <c r="F2" s="107"/>
      <c r="G2" s="107"/>
      <c r="H2" s="107"/>
      <c r="I2" s="107"/>
      <c r="J2" s="107"/>
    </row>
    <row r="3" spans="2:13" s="5" customFormat="1" ht="19.5" x14ac:dyDescent="0.3">
      <c r="B3" s="110" t="str">
        <f>L11</f>
        <v/>
      </c>
      <c r="C3" s="110"/>
      <c r="D3" s="110"/>
      <c r="E3" s="110"/>
      <c r="F3" s="110"/>
      <c r="G3" s="110"/>
      <c r="H3" s="110"/>
      <c r="I3" s="110"/>
      <c r="J3" s="110"/>
    </row>
    <row r="4" spans="2:13" s="5" customFormat="1" ht="30.75" customHeight="1" x14ac:dyDescent="0.3">
      <c r="B4" s="73"/>
      <c r="C4" s="73"/>
      <c r="D4" s="101" t="s">
        <v>25</v>
      </c>
      <c r="E4" s="102"/>
      <c r="F4" s="102"/>
      <c r="G4" s="102"/>
      <c r="H4" s="102"/>
      <c r="I4" s="102"/>
      <c r="J4" s="75"/>
    </row>
    <row r="5" spans="2:13" s="5" customFormat="1" ht="19.5" x14ac:dyDescent="0.25">
      <c r="B5" s="51"/>
      <c r="C5" s="51"/>
      <c r="D5" s="103" t="s">
        <v>16</v>
      </c>
      <c r="E5" s="104"/>
      <c r="F5" s="104"/>
      <c r="G5" s="104"/>
      <c r="H5" s="104"/>
      <c r="I5" s="104"/>
      <c r="J5" s="67">
        <f>M5</f>
        <v>2026</v>
      </c>
      <c r="M5" s="5">
        <f>IF('　　每月　　'!J5&gt;2018,'　　每月　　'!J5,"")</f>
        <v>2026</v>
      </c>
    </row>
    <row r="6" spans="2:13" s="5" customFormat="1" ht="19.5" customHeight="1" x14ac:dyDescent="0.25">
      <c r="D6" s="97" t="str">
        <f>'　　全年　　'!M24</f>
        <v>65岁以下</v>
      </c>
      <c r="E6" s="92"/>
      <c r="F6" s="92"/>
      <c r="G6" s="92"/>
      <c r="H6" s="92"/>
      <c r="I6" s="92"/>
      <c r="J6" s="98"/>
      <c r="M6" s="5" t="str">
        <f>IF('　　每月　　'!J7&gt;1900/1/1,'　　每月　　'!J7,"")</f>
        <v/>
      </c>
    </row>
    <row r="7" spans="2:13" s="5" customFormat="1" ht="19.5" x14ac:dyDescent="0.25">
      <c r="D7" s="97" t="str">
        <f>'　　全年　　'!N24</f>
        <v>2026年度刚满65岁</v>
      </c>
      <c r="E7" s="92"/>
      <c r="F7" s="105" t="str">
        <f ca="1">'　　全年　　'!N27</f>
        <v/>
      </c>
      <c r="G7" s="106"/>
      <c r="H7" s="106"/>
      <c r="I7" s="106"/>
      <c r="J7" s="54" t="str">
        <f>M6</f>
        <v/>
      </c>
    </row>
    <row r="8" spans="2:13" s="5" customFormat="1" ht="19.5" x14ac:dyDescent="0.25">
      <c r="B8" s="46"/>
      <c r="C8" s="47"/>
      <c r="D8" s="100" t="str">
        <f>'　　全年　　'!O24</f>
        <v>65岁以上/残疾人士</v>
      </c>
      <c r="E8" s="92"/>
      <c r="F8" s="92"/>
      <c r="G8" s="92"/>
      <c r="H8" s="92"/>
      <c r="I8" s="92"/>
      <c r="J8" s="98"/>
    </row>
    <row r="9" spans="2:13" s="11" customFormat="1" ht="16.5" x14ac:dyDescent="0.25">
      <c r="B9" s="84" t="s">
        <v>18</v>
      </c>
      <c r="C9" s="85"/>
      <c r="D9" s="85"/>
      <c r="E9" s="85"/>
      <c r="F9" s="85"/>
      <c r="G9" s="85"/>
      <c r="H9" s="85"/>
      <c r="I9" s="85"/>
      <c r="J9" s="78"/>
    </row>
    <row r="10" spans="2:13" s="11" customFormat="1" ht="16.5" x14ac:dyDescent="0.25">
      <c r="B10" s="108" t="s">
        <v>17</v>
      </c>
      <c r="C10" s="109"/>
      <c r="D10" s="109"/>
      <c r="E10" s="109"/>
      <c r="F10" s="109"/>
      <c r="G10" s="109"/>
      <c r="H10" s="109"/>
      <c r="I10" s="109"/>
      <c r="J10" s="79"/>
      <c r="L10" s="11" t="str">
        <f>"("&amp;'　　全年　　'!O7&amp;")"</f>
        <v>(已选择 - 65岁以下)</v>
      </c>
    </row>
    <row r="11" spans="2:13" s="11" customFormat="1" ht="16.5" x14ac:dyDescent="0.25">
      <c r="B11" s="86" t="s">
        <v>24</v>
      </c>
      <c r="C11" s="92"/>
      <c r="D11" s="92"/>
      <c r="E11" s="92"/>
      <c r="F11" s="92"/>
      <c r="G11" s="92"/>
      <c r="H11" s="92"/>
      <c r="I11" s="92"/>
      <c r="J11" s="16">
        <f>(J9-J10)*25%</f>
        <v>0</v>
      </c>
      <c r="L11" s="48" t="str">
        <f>'　　全年　　'!N7</f>
        <v/>
      </c>
    </row>
    <row r="12" spans="2:13" s="11" customFormat="1" ht="16.5" hidden="1" x14ac:dyDescent="0.25">
      <c r="B12" s="86" t="s">
        <v>19</v>
      </c>
      <c r="C12" s="85"/>
      <c r="D12" s="85"/>
      <c r="E12" s="85"/>
      <c r="F12" s="85"/>
      <c r="G12" s="85"/>
      <c r="H12" s="85"/>
      <c r="I12" s="85"/>
      <c r="J12" s="16">
        <f>J10+J11</f>
        <v>0</v>
      </c>
    </row>
    <row r="13" spans="2:13" s="11" customFormat="1" ht="16.5" x14ac:dyDescent="0.25">
      <c r="B13" s="86" t="s">
        <v>21</v>
      </c>
      <c r="C13" s="85"/>
      <c r="D13" s="85"/>
      <c r="E13" s="85"/>
      <c r="F13" s="85"/>
      <c r="G13" s="85"/>
      <c r="H13" s="85"/>
      <c r="I13" s="85"/>
      <c r="J13" s="17">
        <f>J9-J12</f>
        <v>0</v>
      </c>
    </row>
    <row r="14" spans="2:13" s="11" customFormat="1" ht="7.5" customHeight="1" x14ac:dyDescent="0.25">
      <c r="J14" s="21"/>
    </row>
    <row r="15" spans="2:13" s="11" customFormat="1" ht="15.75" x14ac:dyDescent="0.25">
      <c r="D15" s="34" t="s">
        <v>5</v>
      </c>
      <c r="E15" s="34" t="s">
        <v>6</v>
      </c>
      <c r="F15" s="34" t="s">
        <v>7</v>
      </c>
      <c r="G15" s="34" t="s">
        <v>8</v>
      </c>
      <c r="H15" s="34" t="s">
        <v>9</v>
      </c>
      <c r="I15" s="34" t="s">
        <v>10</v>
      </c>
    </row>
    <row r="16" spans="2:13" s="11" customFormat="1" ht="15.75" x14ac:dyDescent="0.25">
      <c r="D16" s="18">
        <v>0</v>
      </c>
      <c r="E16" s="18">
        <f>'　　全年　　'!E16/4</f>
        <v>36000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</row>
    <row r="17" spans="2:11" s="11" customFormat="1" ht="15.75" x14ac:dyDescent="0.25">
      <c r="D17" s="18">
        <f>E16+0.01</f>
        <v>36000.01</v>
      </c>
      <c r="E17" s="18">
        <f>'　　全年　　'!E17/4</f>
        <v>41000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</row>
    <row r="18" spans="2:11" s="11" customFormat="1" ht="15.75" x14ac:dyDescent="0.25">
      <c r="D18" s="18">
        <f>E17+0.01</f>
        <v>41000.01</v>
      </c>
      <c r="E18" s="18">
        <f>'　　全年　　'!E18/4</f>
        <v>46000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</row>
    <row r="19" spans="2:11" s="11" customFormat="1" ht="15.75" x14ac:dyDescent="0.25">
      <c r="D19" s="18">
        <f>E18+0.01</f>
        <v>46000.01</v>
      </c>
      <c r="E19" s="18">
        <f>'　　全年　　'!E19/4</f>
        <v>56000</v>
      </c>
      <c r="F19" s="12">
        <v>0.09</v>
      </c>
      <c r="G19" s="19">
        <f>MIN(E19-E18,$J$13-SUM($G$16:G18))</f>
        <v>0</v>
      </c>
      <c r="H19" s="19">
        <f>IF(G19=0,0,ROUNDDOWN(G19*F19-(SUM($H$17:H18)-G18*F18-G17*F17),2))</f>
        <v>0</v>
      </c>
      <c r="I19" s="19">
        <f t="shared" si="0"/>
        <v>0</v>
      </c>
    </row>
    <row r="20" spans="2:11" s="11" customFormat="1" ht="15.75" x14ac:dyDescent="0.25">
      <c r="D20" s="18">
        <f>E19+0.01</f>
        <v>56000.01</v>
      </c>
      <c r="E20" s="18">
        <f>'　　全年　　'!E20/4</f>
        <v>76000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19">
        <f t="shared" si="0"/>
        <v>0</v>
      </c>
    </row>
    <row r="21" spans="2:11" s="11" customFormat="1" ht="15.75" x14ac:dyDescent="0.25">
      <c r="D21" s="18">
        <f>E20+0.01</f>
        <v>76000.009999999995</v>
      </c>
      <c r="E21" s="18">
        <f>'　　全年　　'!E21/4</f>
        <v>106000</v>
      </c>
      <c r="F21" s="12">
        <v>0.11</v>
      </c>
      <c r="G21" s="19">
        <f>MIN(E21-E20,$J$13-SUM($G$16:G20))</f>
        <v>0</v>
      </c>
      <c r="H21" s="19">
        <f>IF(G21=0,0, ROUNDDOWN(G21*F21-(SUM($H$17:H20)-G20*F20-G19*F19-G18*F18-G17*F17),2))</f>
        <v>0</v>
      </c>
      <c r="I21" s="19">
        <f t="shared" si="0"/>
        <v>0</v>
      </c>
    </row>
    <row r="22" spans="2:11" s="11" customFormat="1" ht="15.75" x14ac:dyDescent="0.25">
      <c r="C22" s="13"/>
      <c r="D22" s="14"/>
      <c r="E22" s="15" t="str">
        <f>FIXED(E21,2,FALSE) &amp; " 以上"</f>
        <v>106,000.00 以上</v>
      </c>
      <c r="F22" s="12">
        <v>0.12</v>
      </c>
      <c r="G22" s="19">
        <f>$J$13-SUM($G$16:G21)</f>
        <v>0</v>
      </c>
      <c r="H22" s="19">
        <f>IF(G22=0,0,ROUNDDOWN(G22*F22-(SUM($H$17:H21)-G21*F21-G20*F20-G19*F19-G18*F18-G17*F17),2))</f>
        <v>0</v>
      </c>
      <c r="I22" s="19">
        <f t="shared" si="0"/>
        <v>0</v>
      </c>
    </row>
    <row r="23" spans="2:11" s="11" customFormat="1" ht="7.5" customHeight="1" x14ac:dyDescent="0.25">
      <c r="B23" s="22"/>
      <c r="C23" s="24"/>
      <c r="D23" s="29"/>
      <c r="E23" s="30"/>
      <c r="F23" s="31"/>
      <c r="G23" s="32"/>
      <c r="H23" s="33"/>
      <c r="I23" s="33"/>
      <c r="J23" s="22"/>
    </row>
    <row r="24" spans="2:11" s="11" customFormat="1" ht="16.5" x14ac:dyDescent="0.25">
      <c r="B24" s="86" t="s">
        <v>22</v>
      </c>
      <c r="C24" s="85"/>
      <c r="D24" s="85"/>
      <c r="E24" s="85"/>
      <c r="F24" s="85"/>
      <c r="G24" s="85"/>
      <c r="H24" s="85"/>
      <c r="I24" s="85"/>
      <c r="J24" s="68">
        <f>ROUNDDOWN(MAX(I16:I22),2)</f>
        <v>0</v>
      </c>
    </row>
    <row r="25" spans="2:11" s="11" customFormat="1" ht="17.25" thickBot="1" x14ac:dyDescent="0.3">
      <c r="B25" s="87" t="s">
        <v>20</v>
      </c>
      <c r="C25" s="88"/>
      <c r="D25" s="88"/>
      <c r="E25" s="88"/>
      <c r="F25" s="88"/>
      <c r="G25" s="88"/>
      <c r="H25" s="88"/>
      <c r="I25" s="88"/>
      <c r="J25" s="69">
        <f>ROUNDDOWN(J24*30%,2)</f>
        <v>0</v>
      </c>
    </row>
    <row r="26" spans="2:11" s="11" customFormat="1" ht="17.25" thickBot="1" x14ac:dyDescent="0.3">
      <c r="B26" s="89" t="s">
        <v>23</v>
      </c>
      <c r="C26" s="90"/>
      <c r="D26" s="90"/>
      <c r="E26" s="90"/>
      <c r="F26" s="90"/>
      <c r="G26" s="90"/>
      <c r="H26" s="90"/>
      <c r="I26" s="90"/>
      <c r="J26" s="70">
        <f>ROUNDUP(J24-J25,0)</f>
        <v>0</v>
      </c>
    </row>
    <row r="27" spans="2:11" s="11" customFormat="1" ht="16.5" thickTop="1" x14ac:dyDescent="0.25">
      <c r="B27" s="64" t="s">
        <v>11</v>
      </c>
      <c r="C27" s="95" t="s">
        <v>12</v>
      </c>
      <c r="D27" s="95"/>
      <c r="E27" s="95"/>
      <c r="F27" s="95"/>
      <c r="G27" s="95"/>
      <c r="H27" s="95"/>
      <c r="I27" s="95"/>
      <c r="J27" s="95"/>
    </row>
    <row r="28" spans="2:11" s="11" customFormat="1" ht="16.5" thickBot="1" x14ac:dyDescent="0.3">
      <c r="B28" s="65" t="s">
        <v>13</v>
      </c>
      <c r="C28" s="96" t="s">
        <v>14</v>
      </c>
      <c r="D28" s="96"/>
      <c r="E28" s="96"/>
      <c r="F28" s="96"/>
      <c r="G28" s="96"/>
      <c r="H28" s="96"/>
      <c r="I28" s="96"/>
      <c r="J28" s="96"/>
    </row>
    <row r="29" spans="2:11" s="11" customFormat="1" ht="16.5" x14ac:dyDescent="0.25">
      <c r="B29" s="82" t="s">
        <v>15</v>
      </c>
      <c r="C29" s="83"/>
      <c r="D29" s="83"/>
      <c r="E29" s="83"/>
      <c r="F29" s="83"/>
      <c r="G29" s="83"/>
      <c r="H29" s="83"/>
      <c r="I29" s="83"/>
      <c r="J29" s="83"/>
    </row>
    <row r="30" spans="2:11" ht="16.5" hidden="1" x14ac:dyDescent="0.25">
      <c r="B30" s="6" t="s">
        <v>0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</row>
    <row r="31" spans="2:11" ht="16.5" hidden="1" x14ac:dyDescent="0.25">
      <c r="B31" s="7"/>
      <c r="C31" s="7" t="s">
        <v>4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</row>
    <row r="32" spans="2:11" ht="16.5" hidden="1" x14ac:dyDescent="0.25">
      <c r="B32" s="6" t="s">
        <v>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</row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customHeight="1" x14ac:dyDescent="0.25"/>
    <row r="39" ht="16.5" hidden="1" customHeight="1" x14ac:dyDescent="0.25"/>
    <row r="40" ht="16.5" hidden="1" customHeight="1" x14ac:dyDescent="0.25"/>
    <row r="41" ht="16.5" hidden="1" customHeight="1" x14ac:dyDescent="0.25"/>
    <row r="42" ht="16.5" hidden="1" customHeight="1" x14ac:dyDescent="0.25"/>
    <row r="43" ht="16.5" hidden="1" customHeight="1" x14ac:dyDescent="0.25"/>
    <row r="44" ht="16.5" hidden="1" customHeight="1" x14ac:dyDescent="0.25"/>
    <row r="45" ht="16.5" hidden="1" customHeight="1" x14ac:dyDescent="0.25"/>
    <row r="46" ht="16.5" hidden="1" customHeight="1" x14ac:dyDescent="0.25"/>
    <row r="47" ht="16.5" hidden="1" customHeight="1" x14ac:dyDescent="0.25"/>
    <row r="48" ht="16.5" hidden="1" customHeight="1" x14ac:dyDescent="0.25"/>
    <row r="49" ht="16.5" hidden="1" customHeight="1" x14ac:dyDescent="0.25"/>
    <row r="50" ht="16.5" hidden="1" customHeight="1" x14ac:dyDescent="0.25"/>
  </sheetData>
  <sheetProtection sheet="1" objects="1" scenarios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19">
    <mergeCell ref="B2:J2"/>
    <mergeCell ref="B9:I9"/>
    <mergeCell ref="B11:I11"/>
    <mergeCell ref="B13:I13"/>
    <mergeCell ref="B24:I24"/>
    <mergeCell ref="D6:J6"/>
    <mergeCell ref="B10:I10"/>
    <mergeCell ref="B12:I12"/>
    <mergeCell ref="B3:J3"/>
    <mergeCell ref="D4:I4"/>
    <mergeCell ref="D5:I5"/>
    <mergeCell ref="C28:J28"/>
    <mergeCell ref="B29:J29"/>
    <mergeCell ref="D7:E7"/>
    <mergeCell ref="F7:I7"/>
    <mergeCell ref="D8:J8"/>
    <mergeCell ref="B25:I25"/>
    <mergeCell ref="B26:I26"/>
    <mergeCell ref="C27:J27"/>
  </mergeCells>
  <phoneticPr fontId="1" type="noConversion"/>
  <dataValidations xWindow="733" yWindow="224" count="5">
    <dataValidation type="decimal" allowBlank="1" showInputMessage="1" showErrorMessage="1" errorTitle="注意：" error="金額不能大於每季總收益。" promptTitle="每季不課稅收益" prompt="金額不能大於季度總收益。" sqref="J10" xr:uid="{00000000-0002-0000-0100-000000000000}">
      <formula1>0</formula1>
      <formula2>J9</formula2>
    </dataValidation>
    <dataValidation operator="greaterThanOrEqual" allowBlank="1" showInputMessage="1" showErrorMessage="1" promptTitle="計算年度：" prompt="請先在”每月”版面輸入“計算年度”" sqref="J5" xr:uid="{00000000-0002-0000-0100-000001000000}"/>
    <dataValidation type="decimal" allowBlank="1" showInputMessage="1" showErrorMessage="1" errorTitle="注意：" error="１．請輸入不少於零的最多小數點後2位的金額．_x000a_２．金額不能小於季度不課稅收益．" promptTitle="每季收益                         " prompt="金額必須包括不課稅收益。" sqref="J9" xr:uid="{00000000-0002-0000-0100-000002000000}">
      <formula1>J10</formula1>
      <formula2>999999999999</formula2>
    </dataValidation>
    <dataValidation allowBlank="1" showInputMessage="1" showErrorMessage="1" promptTitle="出生日期：" prompt="請先在”每月”版面輸入“出生日期”" sqref="J7" xr:uid="{00000000-0002-0000-0100-000003000000}"/>
    <dataValidation allowBlank="1" showInputMessage="1" showErrorMessage="1" promptTitle="估定年租值" prompt="請輸入整數金額。" sqref="J4" xr:uid="{E06232F4-4EFE-4EB3-8660-E02B736B703E}"/>
  </dataValidations>
  <hyperlinks>
    <hyperlink ref="B29" r:id="rId2" display="有關房屋稅之詳細資料，請瀏覽財政局網 http://www.dsf.gov.mo" xr:uid="{00000000-0004-0000-01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2" r:id="rId7" name="Option Button 34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47625</xdr:rowOff>
                  </from>
                  <to>
                    <xdr:col>2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Option Button 35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28575</xdr:rowOff>
                  </from>
                  <to>
                    <xdr:col>2</xdr:col>
                    <xdr:colOff>161925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" name="Option Button 36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28575</xdr:rowOff>
                  </from>
                  <to>
                    <xdr:col>2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Group Box 37">
              <controlPr defaultSize="0" autoFill="0" autoPict="0">
                <anchor moveWithCells="1">
                  <from>
                    <xdr:col>9</xdr:col>
                    <xdr:colOff>9525</xdr:colOff>
                    <xdr:row>3</xdr:row>
                    <xdr:rowOff>0</xdr:rowOff>
                  </from>
                  <to>
                    <xdr:col>9</xdr:col>
                    <xdr:colOff>1495425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Option Button 38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76200</xdr:rowOff>
                  </from>
                  <to>
                    <xdr:col>9</xdr:col>
                    <xdr:colOff>952500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Option Button 39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66675</xdr:rowOff>
                  </from>
                  <to>
                    <xdr:col>9</xdr:col>
                    <xdr:colOff>1304925</xdr:colOff>
                    <xdr:row>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5" tint="0.39997558519241921"/>
    <pageSetUpPr fitToPage="1"/>
  </sheetPr>
  <dimension ref="A1:IN32"/>
  <sheetViews>
    <sheetView showGridLines="0" showRowColHeaders="0" zoomScaleNormal="100" workbookViewId="0">
      <selection activeCell="J9" sqref="J9"/>
    </sheetView>
  </sheetViews>
  <sheetFormatPr defaultColWidth="0" defaultRowHeight="16.5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1.75" style="1" customWidth="1"/>
    <col min="12" max="14" width="11" style="1" hidden="1"/>
    <col min="15" max="15" width="15.5" style="1" hidden="1"/>
    <col min="16" max="16" width="26.25" style="1" hidden="1"/>
    <col min="17" max="16384" width="11" style="1" hidden="1"/>
  </cols>
  <sheetData>
    <row r="1" spans="2:248" ht="25.5" x14ac:dyDescent="0.4">
      <c r="B1" s="20" t="s">
        <v>27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2:248" s="5" customFormat="1" ht="25.5" x14ac:dyDescent="0.4">
      <c r="B2" s="111" t="s">
        <v>28</v>
      </c>
      <c r="C2" s="111"/>
      <c r="D2" s="111"/>
      <c r="E2" s="111"/>
      <c r="F2" s="111"/>
      <c r="G2" s="111"/>
      <c r="H2" s="111"/>
      <c r="I2" s="111"/>
      <c r="J2" s="111"/>
    </row>
    <row r="3" spans="2:248" s="5" customFormat="1" ht="19.5" customHeight="1" x14ac:dyDescent="0.25">
      <c r="B3" s="112" t="str">
        <f>N7</f>
        <v/>
      </c>
      <c r="C3" s="112"/>
      <c r="D3" s="112"/>
      <c r="E3" s="112"/>
      <c r="F3" s="112"/>
      <c r="G3" s="112"/>
      <c r="H3" s="112"/>
      <c r="I3" s="112"/>
      <c r="J3" s="112"/>
      <c r="M3" s="5">
        <v>144000</v>
      </c>
      <c r="N3" s="5">
        <v>198000</v>
      </c>
      <c r="O3" s="5">
        <f>M3*2</f>
        <v>288000</v>
      </c>
      <c r="P3" s="5">
        <f>N3*2</f>
        <v>396000</v>
      </c>
    </row>
    <row r="4" spans="2:248" s="5" customFormat="1" ht="45" customHeight="1" x14ac:dyDescent="0.25">
      <c r="B4" s="74"/>
      <c r="C4" s="74"/>
      <c r="D4" s="101" t="s">
        <v>26</v>
      </c>
      <c r="E4" s="102"/>
      <c r="F4" s="102"/>
      <c r="G4" s="102"/>
      <c r="H4" s="102"/>
      <c r="I4" s="102"/>
      <c r="J4" s="75"/>
      <c r="L4" s="77">
        <v>2</v>
      </c>
    </row>
    <row r="5" spans="2:248" s="5" customFormat="1" ht="19.5" customHeight="1" x14ac:dyDescent="0.25">
      <c r="B5" s="51"/>
      <c r="C5" s="51"/>
      <c r="D5" s="103" t="s">
        <v>29</v>
      </c>
      <c r="E5" s="104"/>
      <c r="F5" s="104"/>
      <c r="G5" s="104"/>
      <c r="H5" s="104"/>
      <c r="I5" s="104"/>
      <c r="J5" s="67">
        <f>M5</f>
        <v>2026</v>
      </c>
      <c r="M5" s="5">
        <f>IF('　　每月　　'!J5&gt;2018,'　　每月　　'!J5,"")</f>
        <v>2026</v>
      </c>
    </row>
    <row r="6" spans="2:248" s="5" customFormat="1" ht="19.5" customHeight="1" x14ac:dyDescent="0.25">
      <c r="D6" s="97" t="s">
        <v>30</v>
      </c>
      <c r="E6" s="92"/>
      <c r="F6" s="92"/>
      <c r="G6" s="92"/>
      <c r="H6" s="92"/>
      <c r="I6" s="92"/>
      <c r="J6" s="98"/>
      <c r="M6" s="5" t="str">
        <f>IF('　　每月　　'!J7&gt;1900/1/1,'　　每月　　'!J7,"")</f>
        <v/>
      </c>
    </row>
    <row r="7" spans="2:248" s="5" customFormat="1" ht="19.5" customHeight="1" x14ac:dyDescent="0.25">
      <c r="D7" s="97" t="s">
        <v>31</v>
      </c>
      <c r="E7" s="92"/>
      <c r="F7" s="105" t="str">
        <f ca="1">N27</f>
        <v/>
      </c>
      <c r="G7" s="106"/>
      <c r="H7" s="106"/>
      <c r="I7" s="106"/>
      <c r="J7" s="54" t="str">
        <f>M6</f>
        <v/>
      </c>
      <c r="M7" s="5">
        <f>IF(AND(L9=2,J7=""),1,IF(AND(L9=2,J7&lt;&gt;""),0,IF(OR(L9=1,L9=3),3,4)))</f>
        <v>3</v>
      </c>
      <c r="N7" s="43" t="str">
        <f>IF('　　全年　　'!M7=1,"因未輸入出生日期，祇能以65歲以下作計算",IF(AND('　　全年　　'!M7=0,'　　全年　　'!M13&lt;65),"於計算年度未滿65歲，祇能以65歲以下作計算",IF(AND('　　全年　　'!M7=0,'　　全年　　'!M13&gt;65),"出生日期於計算年度已超過65歲，故以65歲以上作計算","")))</f>
        <v/>
      </c>
      <c r="O7" s="5" t="s">
        <v>32</v>
      </c>
    </row>
    <row r="8" spans="2:248" s="5" customFormat="1" ht="19.5" customHeight="1" x14ac:dyDescent="0.25">
      <c r="B8" s="46"/>
      <c r="C8" s="47"/>
      <c r="D8" s="100" t="s">
        <v>33</v>
      </c>
      <c r="E8" s="92"/>
      <c r="F8" s="92"/>
      <c r="G8" s="92"/>
      <c r="H8" s="92"/>
      <c r="I8" s="92"/>
      <c r="J8" s="98"/>
      <c r="N8" s="43"/>
    </row>
    <row r="9" spans="2:248" s="11" customFormat="1" x14ac:dyDescent="0.25">
      <c r="B9" s="84" t="s">
        <v>34</v>
      </c>
      <c r="C9" s="85"/>
      <c r="D9" s="85"/>
      <c r="E9" s="85"/>
      <c r="F9" s="85"/>
      <c r="G9" s="85"/>
      <c r="H9" s="85"/>
      <c r="I9" s="85"/>
      <c r="J9" s="80"/>
      <c r="L9" s="49">
        <v>1</v>
      </c>
      <c r="M9" s="11">
        <f>IF($L$9=1,M3,IF(AND($M$7=0,$M$13=65),N3-(M21*(1-$O$18)),IF(AND($M$7=0,$M$13&lt;65),M3,IF(AND($M$7=0,$M$13&gt;65),N3,IF($M$7=1,M3,IF($L$9=3,N3,0))))))</f>
        <v>144000</v>
      </c>
      <c r="N9" s="11">
        <f>IF($L$9=1,O3,IF(AND($M$7=0,$M$13=65),P3-(N21*(1-$O$18)),IF(AND($M$7=0,$M$13&lt;65),O3,IF(AND($M$7=0,$M$13&gt;65),P3,IF($M$7=1,O3,IF($L$9=3,P3,0))))))</f>
        <v>288000</v>
      </c>
    </row>
    <row r="10" spans="2:248" s="11" customFormat="1" x14ac:dyDescent="0.25">
      <c r="B10" s="108" t="s">
        <v>35</v>
      </c>
      <c r="C10" s="109"/>
      <c r="D10" s="109"/>
      <c r="E10" s="109"/>
      <c r="F10" s="109"/>
      <c r="G10" s="109"/>
      <c r="H10" s="109"/>
      <c r="I10" s="109"/>
      <c r="J10" s="81"/>
    </row>
    <row r="11" spans="2:248" s="11" customFormat="1" x14ac:dyDescent="0.25">
      <c r="B11" s="86" t="s">
        <v>36</v>
      </c>
      <c r="C11" s="92"/>
      <c r="D11" s="92"/>
      <c r="E11" s="92"/>
      <c r="F11" s="92"/>
      <c r="G11" s="92"/>
      <c r="H11" s="92"/>
      <c r="I11" s="92"/>
      <c r="J11" s="37">
        <f>(J9-J10)*25%</f>
        <v>0</v>
      </c>
      <c r="K11" s="71"/>
      <c r="N11" s="42">
        <f ca="1">IF(J5="",DATE(YEAR(TODAY()),12,31),DATE(J5,12,31))</f>
        <v>46387</v>
      </c>
    </row>
    <row r="12" spans="2:248" s="11" customFormat="1" hidden="1" x14ac:dyDescent="0.25">
      <c r="B12" s="86" t="s">
        <v>37</v>
      </c>
      <c r="C12" s="85"/>
      <c r="D12" s="85"/>
      <c r="E12" s="85"/>
      <c r="F12" s="85"/>
      <c r="G12" s="85"/>
      <c r="H12" s="85"/>
      <c r="I12" s="85"/>
      <c r="J12" s="37">
        <f>SUM(J10:J11)</f>
        <v>0</v>
      </c>
      <c r="N12" s="42"/>
    </row>
    <row r="13" spans="2:248" s="11" customFormat="1" x14ac:dyDescent="0.25">
      <c r="B13" s="86" t="s">
        <v>38</v>
      </c>
      <c r="C13" s="85"/>
      <c r="D13" s="85"/>
      <c r="E13" s="85"/>
      <c r="F13" s="85"/>
      <c r="G13" s="85"/>
      <c r="H13" s="85"/>
      <c r="I13" s="85"/>
      <c r="J13" s="38">
        <f>J9-J12</f>
        <v>0</v>
      </c>
      <c r="M13" s="11">
        <f>IF(J7="",0,DATEDIF(J7,N11,"Y"))</f>
        <v>0</v>
      </c>
      <c r="V13" s="44"/>
    </row>
    <row r="14" spans="2:248" s="11" customFormat="1" ht="7.5" customHeight="1" x14ac:dyDescent="0.25">
      <c r="J14" s="36"/>
      <c r="V14" s="44"/>
    </row>
    <row r="15" spans="2:248" s="11" customFormat="1" ht="15.75" x14ac:dyDescent="0.25">
      <c r="D15" s="34" t="s">
        <v>1</v>
      </c>
      <c r="E15" s="34" t="s">
        <v>2</v>
      </c>
      <c r="F15" s="34" t="s">
        <v>39</v>
      </c>
      <c r="G15" s="34" t="s">
        <v>40</v>
      </c>
      <c r="H15" s="34" t="s">
        <v>41</v>
      </c>
      <c r="I15" s="34" t="s">
        <v>42</v>
      </c>
      <c r="M15" s="44">
        <f ca="1">IF(J5="",YEAR(TODAY()),J5)</f>
        <v>2026</v>
      </c>
      <c r="N15" s="11">
        <v>1</v>
      </c>
      <c r="O15" s="11">
        <v>1</v>
      </c>
      <c r="V15" s="44"/>
    </row>
    <row r="16" spans="2:248" s="11" customFormat="1" ht="15.75" x14ac:dyDescent="0.25">
      <c r="D16" s="18">
        <v>0</v>
      </c>
      <c r="E16" s="18">
        <f>IF(L4=1,N9,M9)</f>
        <v>144000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  <c r="M16" s="44"/>
    </row>
    <row r="17" spans="2:22" s="11" customFormat="1" ht="15.75" x14ac:dyDescent="0.25">
      <c r="D17" s="18">
        <f>E16+0.01</f>
        <v>144000.01</v>
      </c>
      <c r="E17" s="18">
        <f>E16+20000</f>
        <v>164000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  <c r="M17" s="44">
        <f ca="1">IF(J5="",YEAR(TODAY()),J5)</f>
        <v>2026</v>
      </c>
      <c r="N17" s="11">
        <v>12</v>
      </c>
      <c r="O17" s="11">
        <v>31</v>
      </c>
    </row>
    <row r="18" spans="2:22" s="11" customFormat="1" ht="15.75" x14ac:dyDescent="0.25">
      <c r="D18" s="18">
        <f>E17+0.01</f>
        <v>164000.01</v>
      </c>
      <c r="E18" s="18">
        <f>E17+20000</f>
        <v>184000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  <c r="M18" s="11">
        <f>IF(M7=0,DATEDIF(DATE(M15,N15,O15),DATE(M20,N20,O20),"D"),0)</f>
        <v>0</v>
      </c>
      <c r="N18" s="11">
        <f ca="1">DATEDIF(DATE(M20,N20,O20),DATE(M17,N17,O17),"D")+1</f>
        <v>365</v>
      </c>
      <c r="O18" s="45">
        <f ca="1">N18/(M18+N18)</f>
        <v>1</v>
      </c>
    </row>
    <row r="19" spans="2:22" s="11" customFormat="1" ht="15.75" x14ac:dyDescent="0.25">
      <c r="D19" s="18">
        <f>E18+0.01</f>
        <v>184000.01</v>
      </c>
      <c r="E19" s="18">
        <f>E18+40000</f>
        <v>224000</v>
      </c>
      <c r="F19" s="12">
        <v>0.09</v>
      </c>
      <c r="G19" s="19">
        <f>MIN(E19-E18,$J$13-SUM($G$16:G18))</f>
        <v>0</v>
      </c>
      <c r="H19" s="19">
        <f>IF(G19=0,0, ROUNDDOWN(G19*F19-(SUM($H$17:H18)-G18*F18-G17*F17),2))</f>
        <v>0</v>
      </c>
      <c r="I19" s="19">
        <f t="shared" si="0"/>
        <v>0</v>
      </c>
      <c r="M19" s="11" t="e">
        <f>YEAR(J7)</f>
        <v>#VALUE!</v>
      </c>
      <c r="N19" s="11" t="e">
        <f>MONTH($J$7)</f>
        <v>#VALUE!</v>
      </c>
      <c r="O19" s="11" t="e">
        <f>DAY($J$7)</f>
        <v>#VALUE!</v>
      </c>
    </row>
    <row r="20" spans="2:22" s="11" customFormat="1" ht="15.75" x14ac:dyDescent="0.25">
      <c r="D20" s="18">
        <f>E19+0.01</f>
        <v>224000.01</v>
      </c>
      <c r="E20" s="18">
        <f>+E19+80000</f>
        <v>304000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53">
        <f t="shared" si="0"/>
        <v>0</v>
      </c>
      <c r="M20" s="11">
        <f ca="1">IF(J5="",YEAR(TODAY()),J5)</f>
        <v>2026</v>
      </c>
      <c r="N20" s="11">
        <f>IF(J7="",1,MONTH($J$7))</f>
        <v>1</v>
      </c>
      <c r="O20" s="11">
        <f>IF(J7="",1,DAY($J$7))</f>
        <v>1</v>
      </c>
    </row>
    <row r="21" spans="2:22" s="11" customFormat="1" ht="15.75" customHeight="1" x14ac:dyDescent="0.3">
      <c r="D21" s="18">
        <f>E20+0.01</f>
        <v>304000.01</v>
      </c>
      <c r="E21" s="18">
        <f>E20+120000</f>
        <v>424000</v>
      </c>
      <c r="F21" s="12">
        <v>0.11</v>
      </c>
      <c r="G21" s="19">
        <f>MIN(E21-E20,$J$13-SUM($G$16:G20))</f>
        <v>0</v>
      </c>
      <c r="H21" s="19">
        <f>IF(G21=0,0,ROUNDDOWN(G21*F21-(SUM($H$17:H20)-G20*F20-G19*F19-G18*F18-G17*F17),2))</f>
        <v>0</v>
      </c>
      <c r="I21" s="19">
        <f t="shared" si="0"/>
        <v>0</v>
      </c>
      <c r="M21" s="11">
        <f>198000-144000</f>
        <v>54000</v>
      </c>
      <c r="N21" s="11">
        <f>396000-288000</f>
        <v>108000</v>
      </c>
      <c r="V21" s="50"/>
    </row>
    <row r="22" spans="2:22" s="11" customFormat="1" ht="15.75" x14ac:dyDescent="0.25">
      <c r="C22" s="13"/>
      <c r="D22" s="14"/>
      <c r="E22" s="15" t="str">
        <f>FIXED(E21,2,FALSE) &amp; " 以上"</f>
        <v>424,000.00 以上</v>
      </c>
      <c r="F22" s="12">
        <v>0.12</v>
      </c>
      <c r="G22" s="19">
        <f>$J$13-SUM($G$16:G21)</f>
        <v>0</v>
      </c>
      <c r="H22" s="19">
        <f>IF(G22=0,0, ROUNDDOWN(G22*F22-(SUM($H$17:H21)-G21*F21-G20*F20-G19*F19-G18*F18-G17*F17),2))</f>
        <v>0</v>
      </c>
      <c r="I22" s="19">
        <f t="shared" si="0"/>
        <v>0</v>
      </c>
    </row>
    <row r="23" spans="2:22" s="11" customFormat="1" ht="7.5" customHeight="1" x14ac:dyDescent="0.25">
      <c r="B23" s="22"/>
      <c r="C23" s="24"/>
      <c r="D23" s="24"/>
      <c r="E23" s="25"/>
      <c r="F23" s="26"/>
      <c r="G23" s="27"/>
      <c r="H23" s="28"/>
      <c r="I23" s="28"/>
      <c r="J23" s="22"/>
    </row>
    <row r="24" spans="2:22" s="58" customFormat="1" ht="16.5" customHeight="1" x14ac:dyDescent="0.25">
      <c r="B24" s="86" t="s">
        <v>43</v>
      </c>
      <c r="C24" s="85"/>
      <c r="D24" s="85"/>
      <c r="E24" s="85"/>
      <c r="F24" s="85"/>
      <c r="G24" s="85"/>
      <c r="H24" s="85"/>
      <c r="I24" s="85"/>
      <c r="J24" s="57">
        <f>ROUNDDOWN(MAX(I16:I22),2)</f>
        <v>0</v>
      </c>
      <c r="M24" s="59" t="s">
        <v>44</v>
      </c>
      <c r="N24" s="60" t="s">
        <v>31</v>
      </c>
      <c r="O24" s="100" t="s">
        <v>45</v>
      </c>
      <c r="P24" s="92"/>
      <c r="Q24" s="92"/>
      <c r="R24" s="92"/>
      <c r="S24" s="92"/>
      <c r="T24" s="92"/>
      <c r="U24" s="98"/>
      <c r="V24" s="61"/>
    </row>
    <row r="25" spans="2:22" s="58" customFormat="1" ht="17.25" thickBot="1" x14ac:dyDescent="0.3">
      <c r="B25" s="87" t="s">
        <v>46</v>
      </c>
      <c r="C25" s="88"/>
      <c r="D25" s="88"/>
      <c r="E25" s="88"/>
      <c r="F25" s="88"/>
      <c r="G25" s="88"/>
      <c r="H25" s="88"/>
      <c r="I25" s="88"/>
      <c r="J25" s="62">
        <f>ROUNDDOWN(J24*30%,2)</f>
        <v>0</v>
      </c>
      <c r="V25" s="61"/>
    </row>
    <row r="26" spans="2:22" s="58" customFormat="1" ht="17.25" thickBot="1" x14ac:dyDescent="0.3">
      <c r="B26" s="89" t="s">
        <v>47</v>
      </c>
      <c r="C26" s="90"/>
      <c r="D26" s="90"/>
      <c r="E26" s="90"/>
      <c r="F26" s="90"/>
      <c r="G26" s="90"/>
      <c r="H26" s="90"/>
      <c r="I26" s="90"/>
      <c r="J26" s="63">
        <f>ROUNDUP(J24-J25,0)</f>
        <v>0</v>
      </c>
    </row>
    <row r="27" spans="2:22" s="58" customFormat="1" thickTop="1" x14ac:dyDescent="0.25">
      <c r="B27" s="64" t="s">
        <v>11</v>
      </c>
      <c r="C27" s="95" t="s">
        <v>48</v>
      </c>
      <c r="D27" s="95"/>
      <c r="E27" s="95"/>
      <c r="F27" s="95"/>
      <c r="G27" s="95"/>
      <c r="H27" s="95"/>
      <c r="I27" s="95"/>
      <c r="J27" s="95"/>
      <c r="M27" s="61">
        <f ca="1">IF(J5="",DATE(YEAR(TODAY())-65,1,1),DATE(J5-65,1,1))</f>
        <v>22282</v>
      </c>
      <c r="N27" s="58" t="str">
        <f ca="1">IF(L9=1,"",IF(AND(L9=2,J5=""),"出生日期(年/月/日)：(祇接受輸入"&amp;YEAR(TODAY())-65&amp;"年份之出生日期)",IF(AND(L9=2,J5&lt;&gt;""),"出生日期(年/月/日)：(祇接受輸入"&amp;N28&amp;"年份之出生日期)",IF(L9=3,""))))</f>
        <v/>
      </c>
    </row>
    <row r="28" spans="2:22" s="58" customFormat="1" thickBot="1" x14ac:dyDescent="0.3">
      <c r="B28" s="65" t="s">
        <v>13</v>
      </c>
      <c r="C28" s="96" t="s">
        <v>49</v>
      </c>
      <c r="D28" s="96"/>
      <c r="E28" s="96"/>
      <c r="F28" s="96"/>
      <c r="G28" s="96"/>
      <c r="H28" s="96"/>
      <c r="I28" s="96"/>
      <c r="J28" s="96"/>
      <c r="M28" s="61">
        <f ca="1">IF(J5="",DATE(YEAR(TODAY())-65,12,31),DATE(J5-65,12,31))</f>
        <v>22646</v>
      </c>
      <c r="N28" s="66">
        <f ca="1">IF(J5="",YEAR(TODAY())-65,J5-65)</f>
        <v>1961</v>
      </c>
    </row>
    <row r="29" spans="2:22" s="11" customFormat="1" x14ac:dyDescent="0.25">
      <c r="B29" s="82" t="s">
        <v>50</v>
      </c>
      <c r="C29" s="83"/>
      <c r="D29" s="83"/>
      <c r="E29" s="83"/>
      <c r="F29" s="83"/>
      <c r="G29" s="83"/>
      <c r="H29" s="83"/>
      <c r="I29" s="83"/>
      <c r="J29" s="83"/>
    </row>
    <row r="30" spans="2:22" hidden="1" x14ac:dyDescent="0.25">
      <c r="B30" s="6" t="s">
        <v>51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2" hidden="1" x14ac:dyDescent="0.25">
      <c r="B31" s="7"/>
      <c r="C31" s="7" t="s">
        <v>52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2:22" hidden="1" x14ac:dyDescent="0.25">
      <c r="B32" s="6" t="s">
        <v>53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sheetProtection sheet="1" objects="1" scenarios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20">
    <mergeCell ref="B2:J2"/>
    <mergeCell ref="C27:J27"/>
    <mergeCell ref="C28:J28"/>
    <mergeCell ref="O24:U24"/>
    <mergeCell ref="D7:E7"/>
    <mergeCell ref="B10:I10"/>
    <mergeCell ref="B11:I11"/>
    <mergeCell ref="B3:J3"/>
    <mergeCell ref="F7:I7"/>
    <mergeCell ref="D6:J6"/>
    <mergeCell ref="D8:J8"/>
    <mergeCell ref="B25:I25"/>
    <mergeCell ref="D4:I4"/>
    <mergeCell ref="D5:I5"/>
    <mergeCell ref="B29:J29"/>
    <mergeCell ref="B9:I9"/>
    <mergeCell ref="B12:I12"/>
    <mergeCell ref="B13:I13"/>
    <mergeCell ref="B24:I24"/>
    <mergeCell ref="B26:I26"/>
  </mergeCells>
  <phoneticPr fontId="1" type="noConversion"/>
  <dataValidations xWindow="728" yWindow="220" count="4">
    <dataValidation type="decimal" allowBlank="1" showInputMessage="1" showErrorMessage="1" errorTitle="注意：" error="金額不能大於全年總收益。_x000a_" promptTitle="全年不课税收益" prompt="金額不能大於全年總收益。" sqref="J10" xr:uid="{00000000-0002-0000-0200-000000000000}">
      <formula1>0</formula1>
      <formula2>J9</formula2>
    </dataValidation>
    <dataValidation operator="greaterThanOrEqual" allowBlank="1" showInputMessage="1" showErrorMessage="1" promptTitle="计算年度：" prompt="請先在”每月”版面輸入“計算年度”" sqref="J5" xr:uid="{00000000-0002-0000-0200-000001000000}"/>
    <dataValidation type="decimal" allowBlank="1" showInputMessage="1" showErrorMessage="1" errorTitle="注意：" error="１．請輸入不少於零的數字金額．_x000a_２．金額不能小於年度不課稅收益．" promptTitle="全年总收益" prompt="金額必須包括不課稅收益。" sqref="J9" xr:uid="{00000000-0002-0000-0200-000002000000}">
      <formula1>J10</formula1>
      <formula2>999999999999</formula2>
    </dataValidation>
    <dataValidation allowBlank="1" showInputMessage="1" showErrorMessage="1" promptTitle="出生日期：" prompt="請先在”每月”版面輸入“出生日期”" sqref="J7" xr:uid="{00000000-0002-0000-0200-000003000000}"/>
  </dataValidations>
  <hyperlinks>
    <hyperlink ref="B29" r:id="rId2" display="有關房屋稅之詳細資料，請瀏覽財政局網 http://www.dsf.gov.mo" xr:uid="{00000000-0004-0000-02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6" r:id="rId7" name="Group Box 44">
              <controlPr defaultSize="0" autoFill="0" autoPict="0">
                <anchor moveWithCells="1">
                  <from>
                    <xdr:col>8</xdr:col>
                    <xdr:colOff>981075</xdr:colOff>
                    <xdr:row>3</xdr:row>
                    <xdr:rowOff>0</xdr:rowOff>
                  </from>
                  <to>
                    <xdr:col>9</xdr:col>
                    <xdr:colOff>1495425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Option Button 45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19050</xdr:rowOff>
                  </from>
                  <to>
                    <xdr:col>2</xdr:col>
                    <xdr:colOff>142875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Option Button 46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9525</xdr:rowOff>
                  </from>
                  <to>
                    <xdr:col>2</xdr:col>
                    <xdr:colOff>142875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Option Button 47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0</xdr:rowOff>
                  </from>
                  <to>
                    <xdr:col>2</xdr:col>
                    <xdr:colOff>142875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180975</xdr:rowOff>
                  </from>
                  <to>
                    <xdr:col>9</xdr:col>
                    <xdr:colOff>952500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180975</xdr:rowOff>
                  </from>
                  <to>
                    <xdr:col>9</xdr:col>
                    <xdr:colOff>1304925</xdr:colOff>
                    <xdr:row>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　　每月　　</vt:lpstr>
      <vt:lpstr>　　每季　　</vt:lpstr>
      <vt:lpstr>　　全年　　</vt:lpstr>
      <vt:lpstr>主頁面</vt:lpstr>
    </vt:vector>
  </TitlesOfParts>
  <Company>財政局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職業稅預繳稅款</dc:title>
  <dc:creator>Adwin - Lou Kam Hung</dc:creator>
  <cp:keywords>職業稅, 預繳稅款</cp:keywords>
  <dc:description>版本 1.0</dc:description>
  <cp:lastModifiedBy>Adwin - Lou Kam Hung</cp:lastModifiedBy>
  <cp:lastPrinted>2006-01-17T09:01:56Z</cp:lastPrinted>
  <dcterms:created xsi:type="dcterms:W3CDTF">2003-06-10T11:14:23Z</dcterms:created>
  <dcterms:modified xsi:type="dcterms:W3CDTF">2026-02-10T07:50:22Z</dcterms:modified>
  <cp:category>職業稅</cp:category>
</cp:coreProperties>
</file>